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59C3839D-8825-489C-B774-A6C02BF0C94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ИНИЦИАТИВНАЯ 26" sheetId="1" r:id="rId1"/>
    <sheet name="СОДЕРЖАНИЕ ЖИЛЬЯ" sheetId="2" r:id="rId2"/>
    <sheet name="РЕМОНТ ЖИЛЬЯ" sheetId="3" r:id="rId3"/>
    <sheet name="ОТЧЕТ ИНИЦИАТИ 26  на подпись" sheetId="4" r:id="rId4"/>
  </sheets>
  <calcPr calcId="191029" refMode="R1C1"/>
</workbook>
</file>

<file path=xl/calcChain.xml><?xml version="1.0" encoding="utf-8"?>
<calcChain xmlns="http://schemas.openxmlformats.org/spreadsheetml/2006/main">
  <c r="M13" i="4" l="1"/>
  <c r="G13" i="4"/>
  <c r="J12" i="4"/>
  <c r="J13" i="4" s="1"/>
  <c r="G49" i="1"/>
  <c r="I74" i="2" l="1"/>
  <c r="I69" i="2"/>
  <c r="I64" i="2"/>
  <c r="I57" i="2"/>
  <c r="I51" i="2"/>
  <c r="I46" i="2"/>
  <c r="I40" i="2"/>
  <c r="I34" i="2"/>
  <c r="I29" i="2"/>
  <c r="I24" i="2"/>
  <c r="I18" i="2"/>
  <c r="I13" i="2" l="1"/>
  <c r="K29" i="1" l="1"/>
  <c r="K32" i="1"/>
  <c r="K33" i="1"/>
  <c r="K34" i="1"/>
  <c r="K35" i="1"/>
  <c r="K36" i="1"/>
  <c r="K37" i="1"/>
  <c r="K38" i="1"/>
  <c r="K39" i="1"/>
  <c r="I75" i="2"/>
  <c r="I70" i="2"/>
  <c r="I65" i="2"/>
  <c r="I58" i="2"/>
  <c r="I53" i="2"/>
  <c r="I47" i="2"/>
  <c r="I41" i="2"/>
  <c r="I35" i="2"/>
  <c r="I12" i="3"/>
  <c r="I30" i="2"/>
  <c r="I25" i="2"/>
  <c r="I19" i="2"/>
  <c r="I14" i="2"/>
  <c r="I11" i="2"/>
  <c r="K46" i="1"/>
  <c r="I46" i="1"/>
  <c r="K45" i="1"/>
  <c r="I45" i="1"/>
  <c r="K44" i="1"/>
  <c r="I44" i="1"/>
  <c r="I30" i="1" l="1"/>
  <c r="K30" i="1" s="1"/>
  <c r="I15" i="2"/>
  <c r="I11" i="1" l="1"/>
  <c r="G20" i="4"/>
  <c r="J20" i="4" l="1"/>
  <c r="M20" i="4"/>
  <c r="M21" i="4" s="1"/>
  <c r="E23" i="1"/>
  <c r="K28" i="1"/>
  <c r="I73" i="2"/>
  <c r="I68" i="2"/>
  <c r="I62" i="2"/>
  <c r="I56" i="2"/>
  <c r="I50" i="2"/>
  <c r="I45" i="2"/>
  <c r="I39" i="2"/>
  <c r="I33" i="2"/>
  <c r="I28" i="2"/>
  <c r="I23" i="2"/>
  <c r="I17" i="2"/>
  <c r="M28" i="1" l="1"/>
  <c r="C29" i="1" s="1"/>
  <c r="M29" i="1" s="1"/>
  <c r="C30" i="1" s="1"/>
  <c r="M11" i="1"/>
  <c r="C14" i="1" l="1"/>
  <c r="C12" i="1"/>
  <c r="M12" i="1" s="1"/>
  <c r="C13" i="1" s="1"/>
  <c r="L30" i="4"/>
  <c r="L35" i="4" s="1"/>
  <c r="L36" i="4" s="1"/>
  <c r="K47" i="1"/>
  <c r="I47" i="1"/>
  <c r="C31" i="1" l="1"/>
  <c r="C32" i="1" s="1"/>
  <c r="M32" i="1" s="1"/>
  <c r="C33" i="1" s="1"/>
  <c r="C15" i="1"/>
  <c r="M15" i="1" s="1"/>
  <c r="C16" i="1" s="1"/>
  <c r="M16" i="1" s="1"/>
  <c r="C17" i="1" s="1"/>
  <c r="L33" i="4"/>
  <c r="G40" i="1"/>
  <c r="E40" i="1"/>
  <c r="G23" i="1"/>
  <c r="M17" i="1" l="1"/>
  <c r="C18" i="1" s="1"/>
  <c r="M33" i="1"/>
  <c r="C34" i="1" s="1"/>
  <c r="L6" i="1"/>
  <c r="L5" i="1"/>
  <c r="I77" i="2"/>
  <c r="I22" i="1" s="1"/>
  <c r="K22" i="1" s="1"/>
  <c r="I71" i="2"/>
  <c r="I21" i="1" s="1"/>
  <c r="K21" i="1" s="1"/>
  <c r="I66" i="2"/>
  <c r="I20" i="1" s="1"/>
  <c r="K20" i="1" s="1"/>
  <c r="I60" i="2"/>
  <c r="I19" i="1" s="1"/>
  <c r="K19" i="1" s="1"/>
  <c r="I54" i="2"/>
  <c r="I18" i="1" s="1"/>
  <c r="K18" i="1" s="1"/>
  <c r="I48" i="2"/>
  <c r="I17" i="1" s="1"/>
  <c r="K17" i="1" s="1"/>
  <c r="I43" i="2"/>
  <c r="I16" i="1" s="1"/>
  <c r="K16" i="1" s="1"/>
  <c r="I37" i="2"/>
  <c r="I15" i="1" s="1"/>
  <c r="K15" i="1" s="1"/>
  <c r="I31" i="2"/>
  <c r="I14" i="1" s="1"/>
  <c r="K14" i="1" s="1"/>
  <c r="I26" i="2"/>
  <c r="I13" i="1" s="1"/>
  <c r="K13" i="1" s="1"/>
  <c r="I21" i="2"/>
  <c r="K11" i="1" l="1"/>
  <c r="I12" i="1"/>
  <c r="I78" i="2"/>
  <c r="C19" i="1"/>
  <c r="M34" i="1"/>
  <c r="C35" i="1" s="1"/>
  <c r="K12" i="1" l="1"/>
  <c r="I23" i="1"/>
  <c r="C20" i="1"/>
  <c r="C36" i="1"/>
  <c r="M20" i="1" l="1"/>
  <c r="C21" i="1" s="1"/>
  <c r="C37" i="1"/>
  <c r="K23" i="1"/>
  <c r="K24" i="1" s="1"/>
  <c r="M21" i="1" l="1"/>
  <c r="C22" i="1" s="1"/>
  <c r="M37" i="1"/>
  <c r="C38" i="1" s="1"/>
  <c r="M38" i="1" l="1"/>
  <c r="I15" i="3"/>
  <c r="I49" i="1" s="1"/>
  <c r="K49" i="1" s="1"/>
  <c r="I7" i="3"/>
  <c r="K31" i="1" l="1"/>
  <c r="I16" i="3"/>
  <c r="C39" i="1"/>
  <c r="M40" i="1" s="1"/>
  <c r="I7" i="2"/>
  <c r="I40" i="1" l="1"/>
  <c r="K40" i="1"/>
  <c r="K41" i="1" s="1"/>
  <c r="M54" i="1" s="1"/>
  <c r="M47" i="1"/>
  <c r="M23" i="1"/>
  <c r="M53" i="1" s="1"/>
</calcChain>
</file>

<file path=xl/sharedStrings.xml><?xml version="1.0" encoding="utf-8"?>
<sst xmlns="http://schemas.openxmlformats.org/spreadsheetml/2006/main" count="365" uniqueCount="149">
  <si>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</si>
  <si>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</si>
  <si>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</si>
  <si>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</si>
  <si>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</si>
  <si>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</si>
  <si>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</si>
  <si>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</si>
  <si>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</si>
  <si>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</si>
  <si>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</si>
  <si>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</si>
  <si>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</si>
  <si>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</si>
  <si>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</si>
  <si>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</si>
  <si>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</si>
  <si>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</si>
  <si>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</si>
  <si>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</si>
  <si>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</si>
  <si>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</si>
  <si>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</si>
  <si>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</si>
  <si>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</si>
  <si>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</si>
  <si>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</si>
  <si>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</si>
  <si>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</si>
  <si>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</si>
  <si>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</si>
  <si>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</si>
  <si>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</si>
  <si>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</si>
  <si>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</si>
  <si>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</si>
  <si>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</si>
  <si>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</si>
  <si>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</si>
  <si>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</si>
  <si>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</si>
  <si>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</si>
  <si>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</si>
  <si>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</si>
  <si>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</si>
  <si>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</si>
  <si>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</si>
  <si>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</si>
  <si>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</si>
  <si>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</si>
  <si>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</si>
  <si>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</si>
  <si>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</si>
  <si>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</si>
  <si>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</si>
  <si>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</si>
  <si>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</si>
  <si>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</si>
  <si>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</si>
  <si>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</si>
  <si>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</si>
  <si>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</si>
  <si>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</si>
  <si>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</si>
  <si>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</si>
  <si>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</si>
  <si>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</si>
  <si>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</si>
  <si>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Июль 2022г.</t>
  </si>
  <si>
    <t>Проверка вентканалов и дымоходов</t>
  </si>
  <si>
    <t>усл.</t>
  </si>
  <si>
    <t>ТО ВДГО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</si>
  <si>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</si>
  <si>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</si>
  <si>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</si>
  <si>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</si>
  <si>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Управляющая компания ООО "УК "ЮгДомКомфорт" с  01.02.2022 г.</t>
  </si>
  <si>
    <t>Ремонт ОИ</t>
  </si>
  <si>
    <t>Содержание ОИ</t>
  </si>
  <si>
    <t>S жилых помещений - 800,01 м²</t>
  </si>
  <si>
    <t>Протокол №1 от 26 ноября 2021г.</t>
  </si>
  <si>
    <t>Тариф -15,45 руб.</t>
  </si>
  <si>
    <t>дома по адресу: Ростовская область, г. Таганрог, ул.Инициативная, д.26</t>
  </si>
  <si>
    <t>Приказ ГЖИ № 12-Л  от 11.01.22г.</t>
  </si>
  <si>
    <t>Лицевой счет МКД по адресу: г. Таганрог, ул.  Инициативная, д. 26</t>
  </si>
  <si>
    <t>Протокол №1 от 26 октября 2021г.</t>
  </si>
  <si>
    <t>Тариф -13,15 руб.</t>
  </si>
  <si>
    <t>S жилых помещений - 473,32 м²</t>
  </si>
  <si>
    <t>Доп. Услуги</t>
  </si>
  <si>
    <t>Покос на придомовой территории</t>
  </si>
  <si>
    <t>Информация за 2023г.</t>
  </si>
  <si>
    <t>Должники на 01.01.2023г.</t>
  </si>
  <si>
    <t>Баланс дома на 01.01.2023г.</t>
  </si>
  <si>
    <t>Начисленно средств за 2023г.</t>
  </si>
  <si>
    <t>Оплачено средств за 2023г.</t>
  </si>
  <si>
    <t>Январь</t>
  </si>
  <si>
    <t>Задолженность на 31.12.2023г.</t>
  </si>
  <si>
    <t>за период с 01.01.2023г. по 31.12.2023г.</t>
  </si>
  <si>
    <t>Январь 2023г.</t>
  </si>
  <si>
    <t>ИТОГО январь 2023г.</t>
  </si>
  <si>
    <t>31.01.2023г.</t>
  </si>
  <si>
    <t>Очистка газонов на придомовой территории от веток и мусора</t>
  </si>
  <si>
    <t>Февраль 2023г.</t>
  </si>
  <si>
    <t>ИТОГО февраль 2023г.</t>
  </si>
  <si>
    <t>28.02.2023г.</t>
  </si>
  <si>
    <t>Март 2023г.</t>
  </si>
  <si>
    <t>МАРТ 2023г.</t>
  </si>
  <si>
    <t>31.03.2023г</t>
  </si>
  <si>
    <t>ИТОГО март 2023г.</t>
  </si>
  <si>
    <t>Ремонт оподъездного освещения</t>
  </si>
  <si>
    <t>31.03.2023г.</t>
  </si>
  <si>
    <t>Апрель 2023г.</t>
  </si>
  <si>
    <t>30.04.2023г.</t>
  </si>
  <si>
    <t>ИТОГО апрель 2023г.</t>
  </si>
  <si>
    <t>АПРЕЛЬ 2023г.</t>
  </si>
  <si>
    <t>ИТОГО апрельт 2023г.</t>
  </si>
  <si>
    <t xml:space="preserve">ИТОГО за 2023г. </t>
  </si>
  <si>
    <t>Ремонт внутриподъездных электрических сетей и оборудования</t>
  </si>
  <si>
    <t>Май 2023г.</t>
  </si>
  <si>
    <t>31.05.2023г.</t>
  </si>
  <si>
    <t>ИТОГО май 2023г.</t>
  </si>
  <si>
    <t>Июнь 2023г.</t>
  </si>
  <si>
    <t>Приобретение емкостей для размещения на тех. Этаже</t>
  </si>
  <si>
    <t>30.06.2023г.</t>
  </si>
  <si>
    <t>ИТОГО июнь 2023г.</t>
  </si>
  <si>
    <t>31.07.2023г.</t>
  </si>
  <si>
    <t>ИТОГО июль 2023г.</t>
  </si>
  <si>
    <t>Август 2023г.</t>
  </si>
  <si>
    <t>31.08.2023г.</t>
  </si>
  <si>
    <t>ИТОГО август 2023г.</t>
  </si>
  <si>
    <t>Сентябрь 2023г.</t>
  </si>
  <si>
    <t>Прверка вентканалов и дымоходов</t>
  </si>
  <si>
    <t>30.09.2023г.</t>
  </si>
  <si>
    <t>ИТОГО сентябрьь 2023г.</t>
  </si>
  <si>
    <t>Октябрь 2023г.</t>
  </si>
  <si>
    <t>Промывка, шайбировка</t>
  </si>
  <si>
    <t>31.10.2023г.</t>
  </si>
  <si>
    <t>ИТОГО октябрь 2023г.</t>
  </si>
  <si>
    <t>Ноябрь 2023г.</t>
  </si>
  <si>
    <t>30.11.2023г.</t>
  </si>
  <si>
    <t>ИТОГО ноябрь 2023г.</t>
  </si>
  <si>
    <t>Декабрь 2023г.</t>
  </si>
  <si>
    <t>31.12.2023г.</t>
  </si>
  <si>
    <t>ИТОГО декабрь 2023г.</t>
  </si>
  <si>
    <t>с 01.01.2023г. по 31.12.2023г.</t>
  </si>
  <si>
    <t>ОТЧЕТ ООО "Управляющая компания "ЮгДомКомфорт" за 2023г. перед собственниками</t>
  </si>
  <si>
    <t>Информационное обслуживание, раскрытие информаации на сайте ГИС ЖКХ</t>
  </si>
  <si>
    <t>на доме № 26 по ул. Инициативная</t>
  </si>
  <si>
    <t>Доп.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</si>
</sst>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4" fontId="8" fillId="0" borderId="3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4" fontId="8" fillId="0" borderId="4" xfId="0" applyNumberFormat="1" applyFont="1" applyBorder="1"/>
    <xf numFmtId="2" fontId="8" fillId="0" borderId="2" xfId="0" applyNumberFormat="1" applyFont="1" applyBorder="1"/>
    <xf numFmtId="0" fontId="8" fillId="0" borderId="3" xfId="0" applyFont="1" applyBorder="1"/>
    <xf numFmtId="0" fontId="8" fillId="2" borderId="4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2" fontId="8" fillId="0" borderId="4" xfId="0" applyNumberFormat="1" applyFont="1" applyBorder="1"/>
    <xf numFmtId="2" fontId="3" fillId="0" borderId="4" xfId="0" applyNumberFormat="1" applyFont="1" applyBorder="1"/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8" fillId="0" borderId="1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58"/>
  <sheetViews>
    <sheetView tabSelected="1" showRuler="0" zoomScaleNormal="100" workbookViewId="0">
      <selection activeCell="A25" sqref="A25:M25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  <col min="18" max="18" width="9.5546875" bestFit="1" customWidth="1"/>
  </cols>
  <sheetData>
    <row r="1" spans="1:13" x14ac:dyDescent="0.3">
      <c r="A1" s="80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13" x14ac:dyDescent="0.3">
      <c r="A2" s="64" t="s">
        <v>87</v>
      </c>
      <c r="B2" s="65"/>
      <c r="C2" s="65"/>
      <c r="D2" s="66"/>
      <c r="E2" s="64" t="s">
        <v>85</v>
      </c>
      <c r="F2" s="65"/>
      <c r="G2" s="65"/>
      <c r="H2" s="65"/>
      <c r="I2" s="66"/>
      <c r="J2" s="64" t="s">
        <v>83</v>
      </c>
      <c r="K2" s="65"/>
      <c r="L2" s="65"/>
      <c r="M2" s="66"/>
    </row>
    <row r="3" spans="1:13" x14ac:dyDescent="0.3">
      <c r="A3" s="64" t="s">
        <v>86</v>
      </c>
      <c r="B3" s="66"/>
      <c r="C3" s="64" t="s">
        <v>72</v>
      </c>
      <c r="D3" s="65"/>
      <c r="E3" s="65"/>
      <c r="F3" s="65"/>
      <c r="G3" s="65"/>
      <c r="H3" s="66"/>
      <c r="I3" s="64" t="s">
        <v>73</v>
      </c>
      <c r="J3" s="65"/>
      <c r="K3" s="65"/>
      <c r="L3" s="65"/>
      <c r="M3" s="66"/>
    </row>
    <row r="4" spans="1:13" x14ac:dyDescent="0.3">
      <c r="A4" s="64" t="s">
        <v>74</v>
      </c>
      <c r="B4" s="65"/>
      <c r="C4" s="65"/>
      <c r="D4" s="65"/>
      <c r="E4" s="65"/>
      <c r="F4" s="65"/>
      <c r="G4" s="66"/>
      <c r="H4" s="64" t="s">
        <v>75</v>
      </c>
      <c r="I4" s="65"/>
      <c r="J4" s="65"/>
      <c r="K4" s="65"/>
      <c r="L4" s="65"/>
      <c r="M4" s="66"/>
    </row>
    <row r="5" spans="1:13" x14ac:dyDescent="0.3">
      <c r="A5" s="64" t="s">
        <v>91</v>
      </c>
      <c r="B5" s="65"/>
      <c r="C5" s="65"/>
      <c r="D5" s="66"/>
      <c r="E5" s="60">
        <v>12424.25</v>
      </c>
      <c r="F5" s="61"/>
      <c r="G5" s="64" t="s">
        <v>93</v>
      </c>
      <c r="H5" s="65"/>
      <c r="I5" s="65"/>
      <c r="J5" s="65"/>
      <c r="K5" s="66"/>
      <c r="L5" s="60">
        <f>E23+E40</f>
        <v>61774.999999999993</v>
      </c>
      <c r="M5" s="61"/>
    </row>
    <row r="6" spans="1:13" x14ac:dyDescent="0.3">
      <c r="A6" s="64" t="s">
        <v>92</v>
      </c>
      <c r="B6" s="65"/>
      <c r="C6" s="65"/>
      <c r="D6" s="66"/>
      <c r="E6" s="60">
        <v>-5422.43</v>
      </c>
      <c r="F6" s="61"/>
      <c r="G6" s="64" t="s">
        <v>94</v>
      </c>
      <c r="H6" s="65"/>
      <c r="I6" s="65"/>
      <c r="J6" s="65"/>
      <c r="K6" s="66"/>
      <c r="L6" s="60">
        <f>G23+G40</f>
        <v>63371.72</v>
      </c>
      <c r="M6" s="66"/>
    </row>
    <row r="7" spans="1:13" x14ac:dyDescent="0.3">
      <c r="A7" s="98" t="s">
        <v>90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3" x14ac:dyDescent="0.3">
      <c r="A8" s="80" t="s">
        <v>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</row>
    <row r="9" spans="1:13" ht="14.25" customHeight="1" x14ac:dyDescent="0.3">
      <c r="A9" s="64" t="s">
        <v>54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0">
        <v>-21695.71</v>
      </c>
      <c r="M9" s="61"/>
    </row>
    <row r="10" spans="1:13" ht="54.75" customHeight="1" x14ac:dyDescent="0.3">
      <c r="A10" s="83" t="s">
        <v>1</v>
      </c>
      <c r="B10" s="83"/>
      <c r="C10" s="84" t="s">
        <v>6</v>
      </c>
      <c r="D10" s="83"/>
      <c r="E10" s="84" t="s">
        <v>2</v>
      </c>
      <c r="F10" s="83"/>
      <c r="G10" s="84" t="s">
        <v>3</v>
      </c>
      <c r="H10" s="84"/>
      <c r="I10" s="85" t="s">
        <v>4</v>
      </c>
      <c r="J10" s="85"/>
      <c r="K10" s="86" t="s">
        <v>5</v>
      </c>
      <c r="L10" s="87"/>
      <c r="M10" s="2" t="s">
        <v>8</v>
      </c>
    </row>
    <row r="11" spans="1:13" x14ac:dyDescent="0.3">
      <c r="A11" s="59" t="s">
        <v>95</v>
      </c>
      <c r="B11" s="59"/>
      <c r="C11" s="60">
        <v>2647.46</v>
      </c>
      <c r="D11" s="61"/>
      <c r="E11" s="60">
        <v>2574.16</v>
      </c>
      <c r="F11" s="61"/>
      <c r="G11" s="60">
        <v>2125.4299999999998</v>
      </c>
      <c r="H11" s="61"/>
      <c r="I11" s="67">
        <f>'СОДЕРЖАНИЕ ЖИЛЬЯ'!I15</f>
        <v>4676.6432299999997</v>
      </c>
      <c r="J11" s="66"/>
      <c r="K11" s="58">
        <f>G11-I11</f>
        <v>-2551.2132299999998</v>
      </c>
      <c r="L11" s="59"/>
      <c r="M11" s="40">
        <f>C11+E11-G11</f>
        <v>3096.19</v>
      </c>
    </row>
    <row r="12" spans="1:13" x14ac:dyDescent="0.3">
      <c r="A12" s="64" t="s">
        <v>58</v>
      </c>
      <c r="B12" s="66"/>
      <c r="C12" s="60">
        <f>M11</f>
        <v>3096.19</v>
      </c>
      <c r="D12" s="61"/>
      <c r="E12" s="60">
        <v>2573.94</v>
      </c>
      <c r="F12" s="61"/>
      <c r="G12" s="60">
        <v>2378.48</v>
      </c>
      <c r="H12" s="61"/>
      <c r="I12" s="67">
        <f>'СОДЕРЖАНИЕ ЖИЛЬЯ'!I21</f>
        <v>7199.7888400000002</v>
      </c>
      <c r="J12" s="68"/>
      <c r="K12" s="58">
        <f t="shared" ref="K12:K22" si="0">G12-I12</f>
        <v>-4821.3088399999997</v>
      </c>
      <c r="L12" s="59"/>
      <c r="M12" s="40">
        <f>C12+E12-G12</f>
        <v>3291.65</v>
      </c>
    </row>
    <row r="13" spans="1:13" x14ac:dyDescent="0.3">
      <c r="A13" s="59" t="s">
        <v>59</v>
      </c>
      <c r="B13" s="59"/>
      <c r="C13" s="60">
        <f t="shared" ref="C13:C22" si="1">M12</f>
        <v>3291.65</v>
      </c>
      <c r="D13" s="61"/>
      <c r="E13" s="60">
        <v>2573.94</v>
      </c>
      <c r="F13" s="61"/>
      <c r="G13" s="60">
        <v>2571.88</v>
      </c>
      <c r="H13" s="61"/>
      <c r="I13" s="67">
        <f>'СОДЕРЖАНИЕ ЖИЛЬЯ'!I26</f>
        <v>1735.6595600000001</v>
      </c>
      <c r="J13" s="66"/>
      <c r="K13" s="58">
        <f t="shared" si="0"/>
        <v>836.22044000000005</v>
      </c>
      <c r="L13" s="59"/>
      <c r="M13" s="40">
        <v>3296.3</v>
      </c>
    </row>
    <row r="14" spans="1:13" x14ac:dyDescent="0.3">
      <c r="A14" s="59" t="s">
        <v>60</v>
      </c>
      <c r="B14" s="59"/>
      <c r="C14" s="60">
        <f t="shared" si="1"/>
        <v>3296.3</v>
      </c>
      <c r="D14" s="61"/>
      <c r="E14" s="60">
        <v>2573.94</v>
      </c>
      <c r="F14" s="61"/>
      <c r="G14" s="60">
        <v>2171.31</v>
      </c>
      <c r="H14" s="61"/>
      <c r="I14" s="67">
        <f>'СОДЕРЖАНИЕ ЖИЛЬЯ'!I31</f>
        <v>1569.69352</v>
      </c>
      <c r="J14" s="66"/>
      <c r="K14" s="58">
        <f t="shared" si="0"/>
        <v>601.61647999999991</v>
      </c>
      <c r="L14" s="59"/>
      <c r="M14" s="40">
        <v>3696.34</v>
      </c>
    </row>
    <row r="15" spans="1:13" x14ac:dyDescent="0.3">
      <c r="A15" s="59" t="s">
        <v>61</v>
      </c>
      <c r="B15" s="59"/>
      <c r="C15" s="60">
        <f t="shared" si="1"/>
        <v>3696.34</v>
      </c>
      <c r="D15" s="61"/>
      <c r="E15" s="60">
        <v>2573.94</v>
      </c>
      <c r="F15" s="61"/>
      <c r="G15" s="60">
        <v>2748.79</v>
      </c>
      <c r="H15" s="61"/>
      <c r="I15" s="67">
        <f>'СОДЕРЖАНИЕ ЖИЛЬЯ'!I37</f>
        <v>4213.8678</v>
      </c>
      <c r="J15" s="66"/>
      <c r="K15" s="58">
        <f t="shared" si="0"/>
        <v>-1465.0778</v>
      </c>
      <c r="L15" s="59"/>
      <c r="M15" s="40">
        <f t="shared" ref="M15:M21" si="2">C15+E15-G15</f>
        <v>3521.4900000000007</v>
      </c>
    </row>
    <row r="16" spans="1:13" x14ac:dyDescent="0.3">
      <c r="A16" s="59" t="s">
        <v>62</v>
      </c>
      <c r="B16" s="59"/>
      <c r="C16" s="60">
        <f t="shared" si="1"/>
        <v>3521.4900000000007</v>
      </c>
      <c r="D16" s="61"/>
      <c r="E16" s="60">
        <v>2573.94</v>
      </c>
      <c r="F16" s="61"/>
      <c r="G16" s="60">
        <v>2131.71</v>
      </c>
      <c r="H16" s="61"/>
      <c r="I16" s="67">
        <f>'СОДЕРЖАНИЕ ЖИЛЬЯ'!I43</f>
        <v>2719.0789999999997</v>
      </c>
      <c r="J16" s="66"/>
      <c r="K16" s="58">
        <f t="shared" si="0"/>
        <v>-587.36899999999969</v>
      </c>
      <c r="L16" s="59"/>
      <c r="M16" s="40">
        <f t="shared" si="2"/>
        <v>3963.7200000000003</v>
      </c>
    </row>
    <row r="17" spans="1:13" x14ac:dyDescent="0.3">
      <c r="A17" s="59" t="s">
        <v>63</v>
      </c>
      <c r="B17" s="59"/>
      <c r="C17" s="60">
        <f t="shared" si="1"/>
        <v>3963.7200000000003</v>
      </c>
      <c r="D17" s="61"/>
      <c r="E17" s="60">
        <v>2573.94</v>
      </c>
      <c r="F17" s="61"/>
      <c r="G17" s="60">
        <v>2708.42</v>
      </c>
      <c r="H17" s="61"/>
      <c r="I17" s="67">
        <f>'СОДЕРЖАНИЕ ЖИЛЬЯ'!I48</f>
        <v>1788.2649099999999</v>
      </c>
      <c r="J17" s="66"/>
      <c r="K17" s="58">
        <f t="shared" si="0"/>
        <v>920.1550900000002</v>
      </c>
      <c r="L17" s="59"/>
      <c r="M17" s="40">
        <f t="shared" si="2"/>
        <v>3829.24</v>
      </c>
    </row>
    <row r="18" spans="1:13" x14ac:dyDescent="0.3">
      <c r="A18" s="59" t="s">
        <v>64</v>
      </c>
      <c r="B18" s="59"/>
      <c r="C18" s="60">
        <f t="shared" si="1"/>
        <v>3829.24</v>
      </c>
      <c r="D18" s="61"/>
      <c r="E18" s="60">
        <v>2573.94</v>
      </c>
      <c r="F18" s="61"/>
      <c r="G18" s="60">
        <v>2986.46</v>
      </c>
      <c r="H18" s="61"/>
      <c r="I18" s="67">
        <f>'СОДЕРЖАНИЕ ЖИЛЬЯ'!I54</f>
        <v>4750.6686000000009</v>
      </c>
      <c r="J18" s="66"/>
      <c r="K18" s="58">
        <f t="shared" si="0"/>
        <v>-1764.2086000000008</v>
      </c>
      <c r="L18" s="59"/>
      <c r="M18" s="40">
        <v>3625.83</v>
      </c>
    </row>
    <row r="19" spans="1:13" x14ac:dyDescent="0.3">
      <c r="A19" s="59" t="s">
        <v>65</v>
      </c>
      <c r="B19" s="59"/>
      <c r="C19" s="60">
        <f t="shared" si="1"/>
        <v>3625.83</v>
      </c>
      <c r="D19" s="61"/>
      <c r="E19" s="60">
        <v>2573.94</v>
      </c>
      <c r="F19" s="61"/>
      <c r="G19" s="60">
        <v>2400.58</v>
      </c>
      <c r="H19" s="61"/>
      <c r="I19" s="67">
        <f>'СОДЕРЖАНИЕ ЖИЛЬЯ'!I60</f>
        <v>4097.2564400000001</v>
      </c>
      <c r="J19" s="66"/>
      <c r="K19" s="58">
        <f t="shared" si="0"/>
        <v>-1696.6764400000002</v>
      </c>
      <c r="L19" s="59"/>
      <c r="M19" s="40">
        <v>3590.08</v>
      </c>
    </row>
    <row r="20" spans="1:13" x14ac:dyDescent="0.3">
      <c r="A20" s="59" t="s">
        <v>66</v>
      </c>
      <c r="B20" s="59"/>
      <c r="C20" s="60">
        <f t="shared" si="1"/>
        <v>3590.08</v>
      </c>
      <c r="D20" s="61"/>
      <c r="E20" s="60">
        <v>2573.94</v>
      </c>
      <c r="F20" s="61"/>
      <c r="G20" s="60">
        <v>3083.49</v>
      </c>
      <c r="H20" s="61"/>
      <c r="I20" s="67">
        <f>'СОДЕРЖАНИЕ ЖИЛЬЯ'!I66</f>
        <v>3848.6935599999997</v>
      </c>
      <c r="J20" s="66"/>
      <c r="K20" s="58">
        <f t="shared" si="0"/>
        <v>-765.20355999999992</v>
      </c>
      <c r="L20" s="59"/>
      <c r="M20" s="40">
        <f t="shared" si="2"/>
        <v>3080.5300000000007</v>
      </c>
    </row>
    <row r="21" spans="1:13" x14ac:dyDescent="0.3">
      <c r="A21" s="59" t="s">
        <v>67</v>
      </c>
      <c r="B21" s="59"/>
      <c r="C21" s="60">
        <f t="shared" si="1"/>
        <v>3080.5300000000007</v>
      </c>
      <c r="D21" s="61"/>
      <c r="E21" s="60">
        <v>2573.94</v>
      </c>
      <c r="F21" s="61"/>
      <c r="G21" s="60">
        <v>2455.83</v>
      </c>
      <c r="H21" s="61"/>
      <c r="I21" s="67">
        <f>'СОДЕРЖАНИЕ ЖИЛЬЯ'!I71</f>
        <v>1746.55924</v>
      </c>
      <c r="J21" s="66"/>
      <c r="K21" s="58">
        <f t="shared" si="0"/>
        <v>709.27075999999988</v>
      </c>
      <c r="L21" s="59"/>
      <c r="M21" s="40">
        <f t="shared" si="2"/>
        <v>3198.6400000000012</v>
      </c>
    </row>
    <row r="22" spans="1:13" x14ac:dyDescent="0.3">
      <c r="A22" s="59" t="s">
        <v>7</v>
      </c>
      <c r="B22" s="59"/>
      <c r="C22" s="60">
        <f t="shared" si="1"/>
        <v>3198.6400000000012</v>
      </c>
      <c r="D22" s="61"/>
      <c r="E22" s="60">
        <v>2573.94</v>
      </c>
      <c r="F22" s="61"/>
      <c r="G22" s="60">
        <v>3923.46</v>
      </c>
      <c r="H22" s="61"/>
      <c r="I22" s="67">
        <f>'СОДЕРЖАНИЕ ЖИЛЬЯ'!I77</f>
        <v>5498.0342000000001</v>
      </c>
      <c r="J22" s="66"/>
      <c r="K22" s="58">
        <f t="shared" si="0"/>
        <v>-1574.5742</v>
      </c>
      <c r="L22" s="59"/>
      <c r="M22" s="40">
        <v>1880.08</v>
      </c>
    </row>
    <row r="23" spans="1:13" x14ac:dyDescent="0.3">
      <c r="A23" s="70" t="s">
        <v>9</v>
      </c>
      <c r="B23" s="70"/>
      <c r="C23" s="71"/>
      <c r="D23" s="72"/>
      <c r="E23" s="69">
        <f>SUM(E11:E22)</f>
        <v>30887.499999999996</v>
      </c>
      <c r="F23" s="70"/>
      <c r="G23" s="69">
        <f>SUM(G11:G22)</f>
        <v>31685.839999999997</v>
      </c>
      <c r="H23" s="69"/>
      <c r="I23" s="69">
        <f>SUM(I11:I22)</f>
        <v>43844.208900000005</v>
      </c>
      <c r="J23" s="69"/>
      <c r="K23" s="69">
        <f>SUM(K11:K22)</f>
        <v>-12158.368900000001</v>
      </c>
      <c r="L23" s="70"/>
      <c r="M23" s="3">
        <f>M22</f>
        <v>1880.08</v>
      </c>
    </row>
    <row r="24" spans="1:13" x14ac:dyDescent="0.3">
      <c r="A24" s="64" t="s">
        <v>57</v>
      </c>
      <c r="B24" s="65"/>
      <c r="C24" s="65"/>
      <c r="D24" s="65"/>
      <c r="E24" s="65"/>
      <c r="F24" s="65"/>
      <c r="G24" s="65"/>
      <c r="H24" s="65"/>
      <c r="I24" s="65"/>
      <c r="J24" s="65"/>
      <c r="K24" s="58">
        <f>L9+K23</f>
        <v>-33854.0789</v>
      </c>
      <c r="L24" s="58"/>
      <c r="M24" s="39"/>
    </row>
    <row r="25" spans="1:13" x14ac:dyDescent="0.3">
      <c r="A25" s="80" t="s">
        <v>10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</row>
    <row r="26" spans="1:13" x14ac:dyDescent="0.3">
      <c r="A26" s="64" t="s">
        <v>55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0">
        <v>16273.28</v>
      </c>
      <c r="M26" s="61"/>
    </row>
    <row r="27" spans="1:13" ht="53.25" customHeight="1" x14ac:dyDescent="0.3">
      <c r="A27" s="83" t="s">
        <v>1</v>
      </c>
      <c r="B27" s="83"/>
      <c r="C27" s="84" t="s">
        <v>6</v>
      </c>
      <c r="D27" s="83"/>
      <c r="E27" s="84" t="s">
        <v>2</v>
      </c>
      <c r="F27" s="83"/>
      <c r="G27" s="84" t="s">
        <v>3</v>
      </c>
      <c r="H27" s="84"/>
      <c r="I27" s="85" t="s">
        <v>4</v>
      </c>
      <c r="J27" s="85"/>
      <c r="K27" s="86" t="s">
        <v>5</v>
      </c>
      <c r="L27" s="87"/>
      <c r="M27" s="2" t="s">
        <v>8</v>
      </c>
    </row>
    <row r="28" spans="1:13" x14ac:dyDescent="0.3">
      <c r="A28" s="59" t="s">
        <v>95</v>
      </c>
      <c r="B28" s="59"/>
      <c r="C28" s="60">
        <v>2647.48</v>
      </c>
      <c r="D28" s="61"/>
      <c r="E28" s="60">
        <v>2574.16</v>
      </c>
      <c r="F28" s="61"/>
      <c r="G28" s="60">
        <v>2125.4299999999998</v>
      </c>
      <c r="H28" s="61"/>
      <c r="I28" s="58">
        <v>0</v>
      </c>
      <c r="J28" s="58"/>
      <c r="K28" s="58">
        <f>G28-I28</f>
        <v>2125.4299999999998</v>
      </c>
      <c r="L28" s="59"/>
      <c r="M28" s="40">
        <f>C28+E28-G28</f>
        <v>3096.2099999999996</v>
      </c>
    </row>
    <row r="29" spans="1:13" x14ac:dyDescent="0.3">
      <c r="A29" s="64" t="s">
        <v>58</v>
      </c>
      <c r="B29" s="66"/>
      <c r="C29" s="60">
        <f>M28</f>
        <v>3096.2099999999996</v>
      </c>
      <c r="D29" s="61"/>
      <c r="E29" s="60">
        <v>2573.94</v>
      </c>
      <c r="F29" s="61"/>
      <c r="G29" s="60">
        <v>2378.4699999999998</v>
      </c>
      <c r="H29" s="61"/>
      <c r="I29" s="60">
        <v>0</v>
      </c>
      <c r="J29" s="61"/>
      <c r="K29" s="58">
        <f t="shared" ref="K29:K39" si="3">G29-I29</f>
        <v>2378.4699999999998</v>
      </c>
      <c r="L29" s="59"/>
      <c r="M29" s="40">
        <f>C29+E29-G29</f>
        <v>3291.68</v>
      </c>
    </row>
    <row r="30" spans="1:13" x14ac:dyDescent="0.3">
      <c r="A30" s="59" t="s">
        <v>59</v>
      </c>
      <c r="B30" s="59"/>
      <c r="C30" s="60">
        <f t="shared" ref="C30:C39" si="4">M29</f>
        <v>3291.68</v>
      </c>
      <c r="D30" s="61"/>
      <c r="E30" s="60">
        <v>2573.94</v>
      </c>
      <c r="F30" s="61"/>
      <c r="G30" s="60">
        <v>2571.86</v>
      </c>
      <c r="H30" s="61"/>
      <c r="I30" s="58">
        <f>'РЕМОНТ ЖИЛЬЯ'!I12</f>
        <v>2261</v>
      </c>
      <c r="J30" s="58"/>
      <c r="K30" s="58">
        <f t="shared" si="3"/>
        <v>310.86000000000013</v>
      </c>
      <c r="L30" s="59"/>
      <c r="M30" s="40">
        <v>3296.35</v>
      </c>
    </row>
    <row r="31" spans="1:13" x14ac:dyDescent="0.3">
      <c r="A31" s="59" t="s">
        <v>60</v>
      </c>
      <c r="B31" s="59"/>
      <c r="C31" s="60">
        <f t="shared" si="4"/>
        <v>3296.35</v>
      </c>
      <c r="D31" s="61"/>
      <c r="E31" s="60">
        <v>2573.94</v>
      </c>
      <c r="F31" s="61"/>
      <c r="G31" s="60">
        <v>2171.31</v>
      </c>
      <c r="H31" s="61"/>
      <c r="I31" s="58">
        <v>0</v>
      </c>
      <c r="J31" s="58"/>
      <c r="K31" s="58">
        <f t="shared" si="3"/>
        <v>2171.31</v>
      </c>
      <c r="L31" s="59"/>
      <c r="M31" s="40">
        <v>3696.39</v>
      </c>
    </row>
    <row r="32" spans="1:13" x14ac:dyDescent="0.3">
      <c r="A32" s="59" t="s">
        <v>61</v>
      </c>
      <c r="B32" s="59"/>
      <c r="C32" s="60">
        <f t="shared" si="4"/>
        <v>3696.39</v>
      </c>
      <c r="D32" s="61"/>
      <c r="E32" s="60">
        <v>2573.94</v>
      </c>
      <c r="F32" s="61"/>
      <c r="G32" s="60">
        <v>2748.79</v>
      </c>
      <c r="H32" s="61"/>
      <c r="I32" s="58">
        <v>0</v>
      </c>
      <c r="J32" s="58"/>
      <c r="K32" s="58">
        <f t="shared" si="3"/>
        <v>2748.79</v>
      </c>
      <c r="L32" s="59"/>
      <c r="M32" s="40">
        <f t="shared" ref="M32:M38" si="5">C32+E32-G32</f>
        <v>3521.54</v>
      </c>
    </row>
    <row r="33" spans="1:16" x14ac:dyDescent="0.3">
      <c r="A33" s="59" t="s">
        <v>62</v>
      </c>
      <c r="B33" s="59"/>
      <c r="C33" s="60">
        <f t="shared" si="4"/>
        <v>3521.54</v>
      </c>
      <c r="D33" s="61"/>
      <c r="E33" s="60">
        <v>2573.94</v>
      </c>
      <c r="F33" s="61"/>
      <c r="G33" s="60">
        <v>2131.69</v>
      </c>
      <c r="H33" s="61"/>
      <c r="I33" s="58">
        <v>0</v>
      </c>
      <c r="J33" s="58"/>
      <c r="K33" s="58">
        <f t="shared" si="3"/>
        <v>2131.69</v>
      </c>
      <c r="L33" s="59"/>
      <c r="M33" s="40">
        <f t="shared" si="5"/>
        <v>3963.7899999999995</v>
      </c>
    </row>
    <row r="34" spans="1:16" x14ac:dyDescent="0.3">
      <c r="A34" s="59" t="s">
        <v>63</v>
      </c>
      <c r="B34" s="59"/>
      <c r="C34" s="60">
        <f t="shared" si="4"/>
        <v>3963.7899999999995</v>
      </c>
      <c r="D34" s="61"/>
      <c r="E34" s="60">
        <v>2573.94</v>
      </c>
      <c r="F34" s="61"/>
      <c r="G34" s="60">
        <v>2708.4</v>
      </c>
      <c r="H34" s="61"/>
      <c r="I34" s="58">
        <v>0</v>
      </c>
      <c r="J34" s="58"/>
      <c r="K34" s="58">
        <f t="shared" si="3"/>
        <v>2708.4</v>
      </c>
      <c r="L34" s="59"/>
      <c r="M34" s="40">
        <f t="shared" si="5"/>
        <v>3829.3299999999995</v>
      </c>
    </row>
    <row r="35" spans="1:16" x14ac:dyDescent="0.3">
      <c r="A35" s="59" t="s">
        <v>64</v>
      </c>
      <c r="B35" s="59"/>
      <c r="C35" s="60">
        <f t="shared" si="4"/>
        <v>3829.3299999999995</v>
      </c>
      <c r="D35" s="61"/>
      <c r="E35" s="60">
        <v>2573.94</v>
      </c>
      <c r="F35" s="61"/>
      <c r="G35" s="60">
        <v>2986.51</v>
      </c>
      <c r="H35" s="61"/>
      <c r="I35" s="58">
        <v>0</v>
      </c>
      <c r="J35" s="58"/>
      <c r="K35" s="58">
        <f t="shared" si="3"/>
        <v>2986.51</v>
      </c>
      <c r="L35" s="59"/>
      <c r="M35" s="40">
        <v>3625.85</v>
      </c>
    </row>
    <row r="36" spans="1:16" x14ac:dyDescent="0.3">
      <c r="A36" s="59" t="s">
        <v>65</v>
      </c>
      <c r="B36" s="59"/>
      <c r="C36" s="60">
        <f t="shared" si="4"/>
        <v>3625.85</v>
      </c>
      <c r="D36" s="61"/>
      <c r="E36" s="60">
        <v>2573.94</v>
      </c>
      <c r="F36" s="61"/>
      <c r="G36" s="60">
        <v>2400.61</v>
      </c>
      <c r="H36" s="61"/>
      <c r="I36" s="58">
        <v>0</v>
      </c>
      <c r="J36" s="58"/>
      <c r="K36" s="58">
        <f t="shared" si="3"/>
        <v>2400.61</v>
      </c>
      <c r="L36" s="59"/>
      <c r="M36" s="40">
        <v>3590.09</v>
      </c>
    </row>
    <row r="37" spans="1:16" x14ac:dyDescent="0.3">
      <c r="A37" s="59" t="s">
        <v>66</v>
      </c>
      <c r="B37" s="59"/>
      <c r="C37" s="60">
        <f t="shared" si="4"/>
        <v>3590.09</v>
      </c>
      <c r="D37" s="61"/>
      <c r="E37" s="60">
        <v>2573.94</v>
      </c>
      <c r="F37" s="61"/>
      <c r="G37" s="60">
        <v>3083.51</v>
      </c>
      <c r="H37" s="61"/>
      <c r="I37" s="58">
        <v>0</v>
      </c>
      <c r="J37" s="58"/>
      <c r="K37" s="58">
        <f t="shared" si="3"/>
        <v>3083.51</v>
      </c>
      <c r="L37" s="59"/>
      <c r="M37" s="40">
        <f t="shared" si="5"/>
        <v>3080.5200000000004</v>
      </c>
    </row>
    <row r="38" spans="1:16" x14ac:dyDescent="0.3">
      <c r="A38" s="59" t="s">
        <v>67</v>
      </c>
      <c r="B38" s="59"/>
      <c r="C38" s="60">
        <f t="shared" si="4"/>
        <v>3080.5200000000004</v>
      </c>
      <c r="D38" s="61"/>
      <c r="E38" s="60">
        <v>2573.94</v>
      </c>
      <c r="F38" s="61"/>
      <c r="G38" s="60">
        <v>2455.8200000000002</v>
      </c>
      <c r="H38" s="61"/>
      <c r="I38" s="58">
        <v>0</v>
      </c>
      <c r="J38" s="58"/>
      <c r="K38" s="58">
        <f t="shared" si="3"/>
        <v>2455.8200000000002</v>
      </c>
      <c r="L38" s="59"/>
      <c r="M38" s="40">
        <f t="shared" si="5"/>
        <v>3198.6400000000008</v>
      </c>
    </row>
    <row r="39" spans="1:16" x14ac:dyDescent="0.3">
      <c r="A39" s="59" t="s">
        <v>7</v>
      </c>
      <c r="B39" s="59"/>
      <c r="C39" s="60">
        <f t="shared" si="4"/>
        <v>3198.6400000000008</v>
      </c>
      <c r="D39" s="61"/>
      <c r="E39" s="60">
        <v>2573.94</v>
      </c>
      <c r="F39" s="61"/>
      <c r="G39" s="60">
        <v>3923.48</v>
      </c>
      <c r="H39" s="61"/>
      <c r="I39" s="58">
        <v>0</v>
      </c>
      <c r="J39" s="58"/>
      <c r="K39" s="58">
        <f t="shared" si="3"/>
        <v>3923.48</v>
      </c>
      <c r="L39" s="59"/>
      <c r="M39" s="40">
        <v>1880.08</v>
      </c>
    </row>
    <row r="40" spans="1:16" x14ac:dyDescent="0.3">
      <c r="A40" s="70" t="s">
        <v>9</v>
      </c>
      <c r="B40" s="70"/>
      <c r="C40" s="71"/>
      <c r="D40" s="72"/>
      <c r="E40" s="69">
        <f>SUM(E28:E39)</f>
        <v>30887.499999999996</v>
      </c>
      <c r="F40" s="70"/>
      <c r="G40" s="69">
        <f>SUM(G28:G39)</f>
        <v>31685.88</v>
      </c>
      <c r="H40" s="69"/>
      <c r="I40" s="69">
        <f>SUM(I28:I39)</f>
        <v>2261</v>
      </c>
      <c r="J40" s="69"/>
      <c r="K40" s="69">
        <f>SUM(K28:K39)</f>
        <v>29424.880000000001</v>
      </c>
      <c r="L40" s="69"/>
      <c r="M40" s="3">
        <f>M39</f>
        <v>1880.08</v>
      </c>
      <c r="O40" s="43"/>
      <c r="P40" s="43"/>
    </row>
    <row r="41" spans="1:16" x14ac:dyDescent="0.3">
      <c r="A41" s="64" t="s">
        <v>57</v>
      </c>
      <c r="B41" s="65"/>
      <c r="C41" s="65"/>
      <c r="D41" s="65"/>
      <c r="E41" s="65"/>
      <c r="F41" s="65"/>
      <c r="G41" s="65"/>
      <c r="H41" s="65"/>
      <c r="I41" s="65"/>
      <c r="J41" s="65"/>
      <c r="K41" s="62">
        <f>L26+K40</f>
        <v>45698.16</v>
      </c>
      <c r="L41" s="63"/>
      <c r="M41" s="3"/>
    </row>
    <row r="42" spans="1:16" x14ac:dyDescent="0.3">
      <c r="A42" s="95" t="s">
        <v>11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P42" s="43"/>
    </row>
    <row r="43" spans="1:16" ht="52.5" customHeight="1" x14ac:dyDescent="0.3">
      <c r="A43" s="98" t="s">
        <v>12</v>
      </c>
      <c r="B43" s="99"/>
      <c r="C43" s="99"/>
      <c r="D43" s="100"/>
      <c r="E43" s="73" t="s">
        <v>6</v>
      </c>
      <c r="F43" s="74"/>
      <c r="G43" s="74"/>
      <c r="H43" s="75"/>
      <c r="I43" s="84" t="s">
        <v>2</v>
      </c>
      <c r="J43" s="83"/>
      <c r="K43" s="84" t="s">
        <v>3</v>
      </c>
      <c r="L43" s="84"/>
      <c r="M43" s="2" t="s">
        <v>8</v>
      </c>
    </row>
    <row r="44" spans="1:16" ht="17.25" customHeight="1" x14ac:dyDescent="0.3">
      <c r="A44" s="88" t="s">
        <v>13</v>
      </c>
      <c r="B44" s="89"/>
      <c r="C44" s="89"/>
      <c r="D44" s="90"/>
      <c r="E44" s="76">
        <v>10.42</v>
      </c>
      <c r="F44" s="77"/>
      <c r="G44" s="77"/>
      <c r="H44" s="78"/>
      <c r="I44" s="103">
        <f>10.41+10.41+10.41+10.41+10.41+10.41+10.41+10.41+10.41+10.41+10.41+10.41</f>
        <v>124.91999999999997</v>
      </c>
      <c r="J44" s="104"/>
      <c r="K44" s="91">
        <f>8.59+9.62+10.4+8.79+11+8.63+10.96+11.98+9.71+12.38+9.93+15.87</f>
        <v>127.86000000000001</v>
      </c>
      <c r="L44" s="92"/>
      <c r="M44" s="4">
        <v>7.61</v>
      </c>
    </row>
    <row r="45" spans="1:16" x14ac:dyDescent="0.3">
      <c r="A45" s="64" t="s">
        <v>14</v>
      </c>
      <c r="B45" s="65"/>
      <c r="C45" s="65"/>
      <c r="D45" s="66"/>
      <c r="E45" s="60">
        <v>4.5999999999999996</v>
      </c>
      <c r="F45" s="79"/>
      <c r="G45" s="79"/>
      <c r="H45" s="61"/>
      <c r="I45" s="64">
        <f>4.63+4.63+4.63+4.63+4.63+4.63+4.63+4.63+4.63+4.63+4.63+4.63</f>
        <v>55.560000000000009</v>
      </c>
      <c r="J45" s="66"/>
      <c r="K45" s="60">
        <f>3.82+4.28+4.63+3.91+4.68+3.83+4.88+5.34+4.3+5.48+4.42+7.07</f>
        <v>56.639999999999993</v>
      </c>
      <c r="L45" s="66"/>
      <c r="M45" s="4">
        <v>3.38</v>
      </c>
    </row>
    <row r="46" spans="1:16" x14ac:dyDescent="0.3">
      <c r="A46" s="64" t="s">
        <v>15</v>
      </c>
      <c r="B46" s="65"/>
      <c r="C46" s="65"/>
      <c r="D46" s="66"/>
      <c r="E46" s="60">
        <v>81.17</v>
      </c>
      <c r="F46" s="79"/>
      <c r="G46" s="79"/>
      <c r="H46" s="61"/>
      <c r="I46" s="64">
        <f>85.66+85.66+85.66+85.66+85.66+85.66+85.66+85.66+85.66+85.66+85.66+85.66</f>
        <v>1027.9199999999998</v>
      </c>
      <c r="J46" s="66"/>
      <c r="K46" s="60">
        <f>70.7+79.14+85.6+72.26+86.24+70.94+90.13+98.59+79.89+107.77+81.74+130.56</f>
        <v>1053.56</v>
      </c>
      <c r="L46" s="66"/>
      <c r="M46" s="4">
        <v>62.56</v>
      </c>
    </row>
    <row r="47" spans="1:16" x14ac:dyDescent="0.3">
      <c r="A47" s="96"/>
      <c r="B47" s="113"/>
      <c r="C47" s="113"/>
      <c r="D47" s="97"/>
      <c r="E47" s="105"/>
      <c r="F47" s="106"/>
      <c r="G47" s="106"/>
      <c r="H47" s="107"/>
      <c r="I47" s="105">
        <f>SUM(I44:I46)</f>
        <v>1208.3999999999999</v>
      </c>
      <c r="J47" s="97"/>
      <c r="K47" s="96">
        <f>SUM(K44:K46)</f>
        <v>1238.06</v>
      </c>
      <c r="L47" s="97"/>
      <c r="M47" s="3">
        <f>SUM(M44:M46)</f>
        <v>73.55</v>
      </c>
    </row>
    <row r="48" spans="1:16" ht="53.25" customHeight="1" x14ac:dyDescent="0.3">
      <c r="A48" s="51" t="s">
        <v>88</v>
      </c>
      <c r="B48" s="51"/>
      <c r="C48" s="51"/>
      <c r="D48" s="51"/>
      <c r="E48" s="52" t="s">
        <v>2</v>
      </c>
      <c r="F48" s="53"/>
      <c r="G48" s="52" t="s">
        <v>3</v>
      </c>
      <c r="H48" s="52"/>
      <c r="I48" s="54" t="s">
        <v>4</v>
      </c>
      <c r="J48" s="54"/>
      <c r="K48" s="55" t="s">
        <v>5</v>
      </c>
      <c r="L48" s="56"/>
      <c r="M48" s="46" t="s">
        <v>8</v>
      </c>
    </row>
    <row r="49" spans="1:18" x14ac:dyDescent="0.3">
      <c r="A49" s="47" t="s">
        <v>88</v>
      </c>
      <c r="B49" s="47"/>
      <c r="C49" s="47"/>
      <c r="D49" s="47"/>
      <c r="E49" s="57">
        <v>111508.04</v>
      </c>
      <c r="F49" s="57"/>
      <c r="G49" s="49">
        <f>E49-M49</f>
        <v>106096.72</v>
      </c>
      <c r="H49" s="50"/>
      <c r="I49" s="48">
        <f>'РЕМОНТ ЖИЛЬЯ'!I15</f>
        <v>83375</v>
      </c>
      <c r="J49" s="47"/>
      <c r="K49" s="49">
        <f>G49-I49</f>
        <v>22721.72</v>
      </c>
      <c r="L49" s="50"/>
      <c r="M49" s="37">
        <v>5411.32</v>
      </c>
    </row>
    <row r="50" spans="1:18" x14ac:dyDescent="0.3">
      <c r="A50" s="47" t="s">
        <v>16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4">
        <v>752.03</v>
      </c>
    </row>
    <row r="51" spans="1:18" x14ac:dyDescent="0.3">
      <c r="A51" s="101" t="s">
        <v>56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50"/>
      <c r="M51" s="37">
        <v>24.15</v>
      </c>
    </row>
    <row r="52" spans="1:18" x14ac:dyDescent="0.3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10"/>
    </row>
    <row r="53" spans="1:18" ht="15.6" x14ac:dyDescent="0.3">
      <c r="A53" s="47" t="s">
        <v>96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6">
        <f>M40+M23+M47+M49+M50+M51</f>
        <v>10021.209999999999</v>
      </c>
      <c r="R53" s="43"/>
    </row>
    <row r="54" spans="1:18" x14ac:dyDescent="0.3">
      <c r="A54" s="47" t="s">
        <v>17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36">
        <f>K41+K24+K49</f>
        <v>34565.801100000004</v>
      </c>
    </row>
    <row r="55" spans="1:1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8" x14ac:dyDescent="0.3">
      <c r="A57" s="93"/>
      <c r="B57" s="93"/>
      <c r="C57" s="93"/>
      <c r="D57" s="93"/>
      <c r="E57" s="1"/>
      <c r="F57" s="1"/>
      <c r="G57" s="1"/>
      <c r="H57" s="1"/>
      <c r="I57" s="1"/>
      <c r="J57" s="1"/>
      <c r="K57" s="1"/>
      <c r="L57" s="1"/>
      <c r="M57" s="1"/>
    </row>
    <row r="58" spans="1:18" x14ac:dyDescent="0.3">
      <c r="A58" s="93"/>
      <c r="B58" s="93"/>
      <c r="C58" s="93"/>
      <c r="D58" s="93"/>
      <c r="K58" s="94"/>
      <c r="L58" s="94"/>
      <c r="M58" s="94"/>
    </row>
  </sheetData>
  <mergeCells count="235">
    <mergeCell ref="A45:D45"/>
    <mergeCell ref="A46:D46"/>
    <mergeCell ref="A47:D47"/>
    <mergeCell ref="E10:F10"/>
    <mergeCell ref="G10:H10"/>
    <mergeCell ref="L5:M5"/>
    <mergeCell ref="L6:M6"/>
    <mergeCell ref="A7:M7"/>
    <mergeCell ref="A8:M8"/>
    <mergeCell ref="K10:L10"/>
    <mergeCell ref="I10:J10"/>
    <mergeCell ref="L9:M9"/>
    <mergeCell ref="A9:K9"/>
    <mergeCell ref="A6:D6"/>
    <mergeCell ref="E6:F6"/>
    <mergeCell ref="G6:K6"/>
    <mergeCell ref="A5:D5"/>
    <mergeCell ref="E5:F5"/>
    <mergeCell ref="G5:K5"/>
    <mergeCell ref="A10:B10"/>
    <mergeCell ref="C10:D10"/>
    <mergeCell ref="A14:B14"/>
    <mergeCell ref="A15:B15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57:D57"/>
    <mergeCell ref="A58:D58"/>
    <mergeCell ref="K58:M58"/>
    <mergeCell ref="K40:L40"/>
    <mergeCell ref="A42:M42"/>
    <mergeCell ref="A40:B40"/>
    <mergeCell ref="C40:D40"/>
    <mergeCell ref="E40:F40"/>
    <mergeCell ref="G40:H40"/>
    <mergeCell ref="I40:J40"/>
    <mergeCell ref="K43:L43"/>
    <mergeCell ref="K45:L45"/>
    <mergeCell ref="K46:L46"/>
    <mergeCell ref="K47:L47"/>
    <mergeCell ref="A43:D43"/>
    <mergeCell ref="A51:L51"/>
    <mergeCell ref="I44:J44"/>
    <mergeCell ref="E47:H47"/>
    <mergeCell ref="I43:J43"/>
    <mergeCell ref="A52:M52"/>
    <mergeCell ref="A50:L50"/>
    <mergeCell ref="I45:J45"/>
    <mergeCell ref="I46:J46"/>
    <mergeCell ref="I47:J47"/>
    <mergeCell ref="A53:L53"/>
    <mergeCell ref="A54:L54"/>
    <mergeCell ref="A21:B21"/>
    <mergeCell ref="A22:B22"/>
    <mergeCell ref="C11:D11"/>
    <mergeCell ref="C13:D13"/>
    <mergeCell ref="C14:D14"/>
    <mergeCell ref="E43:H43"/>
    <mergeCell ref="E44:H44"/>
    <mergeCell ref="E45:H45"/>
    <mergeCell ref="E46:H46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A44:D44"/>
    <mergeCell ref="K44:L44"/>
    <mergeCell ref="A11:B11"/>
    <mergeCell ref="A13:B13"/>
    <mergeCell ref="A16:B16"/>
    <mergeCell ref="A17:B17"/>
    <mergeCell ref="A18:B18"/>
    <mergeCell ref="A19:B19"/>
    <mergeCell ref="A20:B20"/>
    <mergeCell ref="E11:F11"/>
    <mergeCell ref="E13:F13"/>
    <mergeCell ref="E14:F14"/>
    <mergeCell ref="E15:F15"/>
    <mergeCell ref="E16:F16"/>
    <mergeCell ref="E17:F17"/>
    <mergeCell ref="A12:B12"/>
    <mergeCell ref="C12:D12"/>
    <mergeCell ref="E12:F12"/>
    <mergeCell ref="C15:D15"/>
    <mergeCell ref="C16:D16"/>
    <mergeCell ref="C17:D17"/>
    <mergeCell ref="C20:D20"/>
    <mergeCell ref="I16:J16"/>
    <mergeCell ref="I17:J17"/>
    <mergeCell ref="I18:J18"/>
    <mergeCell ref="I19:J19"/>
    <mergeCell ref="I20:J20"/>
    <mergeCell ref="E18:F18"/>
    <mergeCell ref="E19:F19"/>
    <mergeCell ref="E20:F20"/>
    <mergeCell ref="E21:F21"/>
    <mergeCell ref="C21:D21"/>
    <mergeCell ref="C22:D22"/>
    <mergeCell ref="G28:H28"/>
    <mergeCell ref="K17:L17"/>
    <mergeCell ref="K18:L18"/>
    <mergeCell ref="K19:L19"/>
    <mergeCell ref="K20:L20"/>
    <mergeCell ref="K21:L21"/>
    <mergeCell ref="C28:D28"/>
    <mergeCell ref="E22:F22"/>
    <mergeCell ref="K22:L22"/>
    <mergeCell ref="G22:H22"/>
    <mergeCell ref="A24:J24"/>
    <mergeCell ref="K24:L24"/>
    <mergeCell ref="K23:L23"/>
    <mergeCell ref="K28:L28"/>
    <mergeCell ref="C18:D18"/>
    <mergeCell ref="C19:D19"/>
    <mergeCell ref="A23:B23"/>
    <mergeCell ref="C23:D23"/>
    <mergeCell ref="E23:F23"/>
    <mergeCell ref="A28:B28"/>
    <mergeCell ref="G23:H23"/>
    <mergeCell ref="I23:J23"/>
    <mergeCell ref="K11:L11"/>
    <mergeCell ref="K13:L13"/>
    <mergeCell ref="K14:L14"/>
    <mergeCell ref="K15:L15"/>
    <mergeCell ref="K16:L16"/>
    <mergeCell ref="I21:J21"/>
    <mergeCell ref="I22:J22"/>
    <mergeCell ref="G17:H17"/>
    <mergeCell ref="G18:H18"/>
    <mergeCell ref="G19:H19"/>
    <mergeCell ref="G20:H20"/>
    <mergeCell ref="G21:H21"/>
    <mergeCell ref="G11:H11"/>
    <mergeCell ref="G13:H13"/>
    <mergeCell ref="G14:H14"/>
    <mergeCell ref="G15:H15"/>
    <mergeCell ref="G16:H16"/>
    <mergeCell ref="I11:J11"/>
    <mergeCell ref="G12:H12"/>
    <mergeCell ref="I12:J12"/>
    <mergeCell ref="K12:L12"/>
    <mergeCell ref="I13:J13"/>
    <mergeCell ref="I14:J14"/>
    <mergeCell ref="I15:J15"/>
    <mergeCell ref="A30:B30"/>
    <mergeCell ref="A31:B31"/>
    <mergeCell ref="A32:B32"/>
    <mergeCell ref="E28:F28"/>
    <mergeCell ref="E30:F30"/>
    <mergeCell ref="E31:F31"/>
    <mergeCell ref="E32:F32"/>
    <mergeCell ref="I28:J28"/>
    <mergeCell ref="I30:J30"/>
    <mergeCell ref="I31:J31"/>
    <mergeCell ref="I32:J32"/>
    <mergeCell ref="G31:H31"/>
    <mergeCell ref="G32:H32"/>
    <mergeCell ref="A29:B29"/>
    <mergeCell ref="C29:D29"/>
    <mergeCell ref="E29:F29"/>
    <mergeCell ref="G29:H29"/>
    <mergeCell ref="I29:J29"/>
    <mergeCell ref="K41:L41"/>
    <mergeCell ref="I38:J38"/>
    <mergeCell ref="I39:J39"/>
    <mergeCell ref="K33:L33"/>
    <mergeCell ref="K34:L34"/>
    <mergeCell ref="K35:L35"/>
    <mergeCell ref="K36:L36"/>
    <mergeCell ref="K37:L37"/>
    <mergeCell ref="K38:L38"/>
    <mergeCell ref="K39:L39"/>
    <mergeCell ref="I33:J33"/>
    <mergeCell ref="I34:J34"/>
    <mergeCell ref="I35:J35"/>
    <mergeCell ref="I36:J36"/>
    <mergeCell ref="I37:J37"/>
    <mergeCell ref="A41:J41"/>
    <mergeCell ref="E38:F38"/>
    <mergeCell ref="E33:F33"/>
    <mergeCell ref="E34:F34"/>
    <mergeCell ref="A38:B38"/>
    <mergeCell ref="A39:B39"/>
    <mergeCell ref="C38:D38"/>
    <mergeCell ref="C39:D39"/>
    <mergeCell ref="A33:B33"/>
    <mergeCell ref="A34:B34"/>
    <mergeCell ref="A35:B35"/>
    <mergeCell ref="A36:B36"/>
    <mergeCell ref="A37:B37"/>
    <mergeCell ref="C33:D33"/>
    <mergeCell ref="C34:D34"/>
    <mergeCell ref="C35:D35"/>
    <mergeCell ref="C36:D36"/>
    <mergeCell ref="C37:D37"/>
    <mergeCell ref="K29:L29"/>
    <mergeCell ref="G33:H33"/>
    <mergeCell ref="G34:H34"/>
    <mergeCell ref="G35:H35"/>
    <mergeCell ref="C30:D30"/>
    <mergeCell ref="C31:D31"/>
    <mergeCell ref="C32:D32"/>
    <mergeCell ref="G30:H30"/>
    <mergeCell ref="G39:H39"/>
    <mergeCell ref="K30:L30"/>
    <mergeCell ref="K31:L31"/>
    <mergeCell ref="K32:L32"/>
    <mergeCell ref="E35:F35"/>
    <mergeCell ref="E36:F36"/>
    <mergeCell ref="E37:F37"/>
    <mergeCell ref="E39:F39"/>
    <mergeCell ref="G36:H36"/>
    <mergeCell ref="G37:H37"/>
    <mergeCell ref="G38:H38"/>
    <mergeCell ref="A49:D49"/>
    <mergeCell ref="I49:J49"/>
    <mergeCell ref="K49:L49"/>
    <mergeCell ref="A48:D48"/>
    <mergeCell ref="E48:F48"/>
    <mergeCell ref="G48:H48"/>
    <mergeCell ref="I48:J48"/>
    <mergeCell ref="K48:L48"/>
    <mergeCell ref="E49:F49"/>
    <mergeCell ref="G49:H49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83"/>
  <sheetViews>
    <sheetView zoomScaleNormal="100" workbookViewId="0">
      <selection activeCell="G88" sqref="G88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3" x14ac:dyDescent="0.3">
      <c r="B1" s="7"/>
      <c r="C1" s="8"/>
      <c r="D1" s="9"/>
      <c r="E1" s="10"/>
      <c r="F1" s="10"/>
      <c r="G1" s="7"/>
      <c r="H1" s="7"/>
    </row>
    <row r="2" spans="2:13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3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3" ht="18" x14ac:dyDescent="0.35">
      <c r="B4" s="12" t="s">
        <v>147</v>
      </c>
      <c r="C4" s="12"/>
      <c r="D4" s="15"/>
      <c r="E4" s="15"/>
      <c r="F4" s="12"/>
      <c r="G4" s="13"/>
      <c r="H4" s="14"/>
      <c r="I4" s="14"/>
    </row>
    <row r="5" spans="2:13" ht="18" x14ac:dyDescent="0.35">
      <c r="B5" s="12" t="s">
        <v>97</v>
      </c>
      <c r="C5" s="12"/>
      <c r="D5" s="15"/>
      <c r="E5" s="15"/>
      <c r="F5" s="12"/>
      <c r="G5" s="13"/>
      <c r="H5" s="14"/>
      <c r="I5" s="14"/>
    </row>
    <row r="6" spans="2:13" ht="18" x14ac:dyDescent="0.35">
      <c r="B6" s="27" t="s">
        <v>76</v>
      </c>
      <c r="C6" s="27"/>
      <c r="D6" s="28"/>
      <c r="E6" s="28"/>
      <c r="F6" s="27"/>
      <c r="G6" s="29"/>
      <c r="H6" s="29"/>
      <c r="I6" s="29"/>
      <c r="J6" s="30"/>
    </row>
    <row r="7" spans="2:13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3" ht="12.75" customHeight="1" x14ac:dyDescent="0.3">
      <c r="B8" s="129" t="s">
        <v>20</v>
      </c>
      <c r="C8" s="122" t="s">
        <v>27</v>
      </c>
      <c r="D8" s="127" t="s">
        <v>21</v>
      </c>
      <c r="E8" s="124"/>
      <c r="F8" s="122" t="s">
        <v>22</v>
      </c>
      <c r="G8" s="122" t="s">
        <v>23</v>
      </c>
      <c r="H8" s="122" t="s">
        <v>24</v>
      </c>
      <c r="I8" s="124" t="s">
        <v>26</v>
      </c>
    </row>
    <row r="9" spans="2:13" ht="24" customHeight="1" x14ac:dyDescent="0.3">
      <c r="B9" s="130"/>
      <c r="C9" s="123"/>
      <c r="D9" s="128"/>
      <c r="E9" s="125"/>
      <c r="F9" s="131"/>
      <c r="G9" s="131"/>
      <c r="H9" s="123"/>
      <c r="I9" s="125"/>
    </row>
    <row r="10" spans="2:13" x14ac:dyDescent="0.3">
      <c r="B10" s="116" t="s">
        <v>98</v>
      </c>
      <c r="C10" s="117"/>
      <c r="D10" s="117"/>
      <c r="E10" s="117"/>
      <c r="F10" s="117"/>
      <c r="G10" s="117"/>
      <c r="H10" s="117"/>
      <c r="I10" s="118"/>
    </row>
    <row r="11" spans="2:13" ht="26.4" x14ac:dyDescent="0.3">
      <c r="B11" s="19">
        <v>1</v>
      </c>
      <c r="C11" s="20" t="s">
        <v>100</v>
      </c>
      <c r="D11" s="114" t="s">
        <v>30</v>
      </c>
      <c r="E11" s="115"/>
      <c r="F11" s="24" t="s">
        <v>28</v>
      </c>
      <c r="G11" s="25" t="s">
        <v>29</v>
      </c>
      <c r="H11" s="25">
        <v>472.28</v>
      </c>
      <c r="I11" s="26">
        <f>H11*2.7</f>
        <v>1275.1559999999999</v>
      </c>
    </row>
    <row r="12" spans="2:13" ht="39.6" x14ac:dyDescent="0.3">
      <c r="B12" s="19">
        <v>2</v>
      </c>
      <c r="C12" s="20" t="s">
        <v>100</v>
      </c>
      <c r="D12" s="114" t="s">
        <v>30</v>
      </c>
      <c r="E12" s="115"/>
      <c r="F12" s="24" t="s">
        <v>101</v>
      </c>
      <c r="G12" s="25" t="s">
        <v>70</v>
      </c>
      <c r="H12" s="25">
        <v>1</v>
      </c>
      <c r="I12" s="26">
        <v>2975</v>
      </c>
      <c r="M12" s="42"/>
    </row>
    <row r="13" spans="2:13" ht="52.8" x14ac:dyDescent="0.3">
      <c r="B13" s="19">
        <v>3</v>
      </c>
      <c r="C13" s="20" t="s">
        <v>100</v>
      </c>
      <c r="D13" s="114" t="s">
        <v>30</v>
      </c>
      <c r="E13" s="115"/>
      <c r="F13" s="45" t="s">
        <v>146</v>
      </c>
      <c r="G13" s="25" t="s">
        <v>70</v>
      </c>
      <c r="H13" s="25">
        <v>1</v>
      </c>
      <c r="I13" s="26">
        <f>472.28*0.05</f>
        <v>23.614000000000001</v>
      </c>
    </row>
    <row r="14" spans="2:13" ht="26.4" x14ac:dyDescent="0.3">
      <c r="B14" s="19">
        <v>4</v>
      </c>
      <c r="C14" s="20" t="s">
        <v>100</v>
      </c>
      <c r="D14" s="114" t="s">
        <v>30</v>
      </c>
      <c r="E14" s="115"/>
      <c r="F14" s="24" t="s">
        <v>32</v>
      </c>
      <c r="G14" s="25" t="s">
        <v>31</v>
      </c>
      <c r="H14" s="25">
        <v>1</v>
      </c>
      <c r="I14" s="26">
        <f>(12483.93*1.9%)+(10354.91*1.6%)</f>
        <v>402.87323000000004</v>
      </c>
    </row>
    <row r="15" spans="2:13" x14ac:dyDescent="0.3">
      <c r="B15" s="119" t="s">
        <v>99</v>
      </c>
      <c r="C15" s="120"/>
      <c r="D15" s="120"/>
      <c r="E15" s="120"/>
      <c r="F15" s="120"/>
      <c r="G15" s="120"/>
      <c r="H15" s="121"/>
      <c r="I15" s="41">
        <f>SUM(I11:I14)</f>
        <v>4676.6432299999997</v>
      </c>
    </row>
    <row r="16" spans="2:13" x14ac:dyDescent="0.3">
      <c r="B16" s="116" t="s">
        <v>102</v>
      </c>
      <c r="C16" s="117"/>
      <c r="D16" s="117"/>
      <c r="E16" s="117"/>
      <c r="F16" s="117"/>
      <c r="G16" s="117"/>
      <c r="H16" s="117"/>
      <c r="I16" s="118"/>
    </row>
    <row r="17" spans="2:13" ht="26.4" x14ac:dyDescent="0.3">
      <c r="B17" s="19">
        <v>1</v>
      </c>
      <c r="C17" s="20" t="s">
        <v>104</v>
      </c>
      <c r="D17" s="114" t="s">
        <v>30</v>
      </c>
      <c r="E17" s="115"/>
      <c r="F17" s="24" t="s">
        <v>28</v>
      </c>
      <c r="G17" s="25" t="s">
        <v>29</v>
      </c>
      <c r="H17" s="25">
        <v>472.28</v>
      </c>
      <c r="I17" s="26">
        <f>H17*2.7</f>
        <v>1275.1559999999999</v>
      </c>
    </row>
    <row r="18" spans="2:13" ht="52.8" x14ac:dyDescent="0.3">
      <c r="B18" s="19">
        <v>2</v>
      </c>
      <c r="C18" s="20" t="s">
        <v>104</v>
      </c>
      <c r="D18" s="114" t="s">
        <v>30</v>
      </c>
      <c r="E18" s="115"/>
      <c r="F18" s="45" t="s">
        <v>146</v>
      </c>
      <c r="G18" s="25" t="s">
        <v>70</v>
      </c>
      <c r="H18" s="25">
        <v>1</v>
      </c>
      <c r="I18" s="26">
        <f>472.28*0.05</f>
        <v>23.614000000000001</v>
      </c>
    </row>
    <row r="19" spans="2:13" ht="26.4" x14ac:dyDescent="0.3">
      <c r="B19" s="19">
        <v>3</v>
      </c>
      <c r="C19" s="20" t="s">
        <v>104</v>
      </c>
      <c r="D19" s="114" t="s">
        <v>30</v>
      </c>
      <c r="E19" s="115"/>
      <c r="F19" s="24" t="s">
        <v>32</v>
      </c>
      <c r="G19" s="25" t="s">
        <v>31</v>
      </c>
      <c r="H19" s="25">
        <v>1</v>
      </c>
      <c r="I19" s="26">
        <f>(12483.4*1.9%)+(11489.64*1.6%)</f>
        <v>421.01883999999995</v>
      </c>
    </row>
    <row r="20" spans="2:13" ht="30.75" customHeight="1" x14ac:dyDescent="0.3">
      <c r="B20" s="19">
        <v>4</v>
      </c>
      <c r="C20" s="20" t="s">
        <v>104</v>
      </c>
      <c r="D20" s="114" t="s">
        <v>30</v>
      </c>
      <c r="E20" s="115"/>
      <c r="F20" s="24" t="s">
        <v>69</v>
      </c>
      <c r="G20" s="25" t="s">
        <v>70</v>
      </c>
      <c r="H20" s="25">
        <v>1</v>
      </c>
      <c r="I20" s="26">
        <v>5480</v>
      </c>
    </row>
    <row r="21" spans="2:13" x14ac:dyDescent="0.3">
      <c r="B21" s="119" t="s">
        <v>103</v>
      </c>
      <c r="C21" s="120"/>
      <c r="D21" s="120"/>
      <c r="E21" s="120"/>
      <c r="F21" s="120"/>
      <c r="G21" s="120"/>
      <c r="H21" s="121"/>
      <c r="I21" s="41">
        <f>SUM(I17:I20)</f>
        <v>7199.7888400000002</v>
      </c>
    </row>
    <row r="22" spans="2:13" x14ac:dyDescent="0.3">
      <c r="B22" s="116" t="s">
        <v>105</v>
      </c>
      <c r="C22" s="117"/>
      <c r="D22" s="117"/>
      <c r="E22" s="117"/>
      <c r="F22" s="117"/>
      <c r="G22" s="117"/>
      <c r="H22" s="117"/>
      <c r="I22" s="118"/>
    </row>
    <row r="23" spans="2:13" ht="26.4" x14ac:dyDescent="0.3">
      <c r="B23" s="19">
        <v>1</v>
      </c>
      <c r="C23" s="20" t="s">
        <v>110</v>
      </c>
      <c r="D23" s="114" t="s">
        <v>30</v>
      </c>
      <c r="E23" s="115"/>
      <c r="F23" s="24" t="s">
        <v>28</v>
      </c>
      <c r="G23" s="25" t="s">
        <v>29</v>
      </c>
      <c r="H23" s="25">
        <v>472.28</v>
      </c>
      <c r="I23" s="26">
        <f>H23*2.7</f>
        <v>1275.1559999999999</v>
      </c>
    </row>
    <row r="24" spans="2:13" ht="52.8" x14ac:dyDescent="0.3">
      <c r="B24" s="19">
        <v>2</v>
      </c>
      <c r="C24" s="20" t="s">
        <v>110</v>
      </c>
      <c r="D24" s="114" t="s">
        <v>30</v>
      </c>
      <c r="E24" s="115"/>
      <c r="F24" s="45" t="s">
        <v>146</v>
      </c>
      <c r="G24" s="25" t="s">
        <v>70</v>
      </c>
      <c r="H24" s="25">
        <v>1</v>
      </c>
      <c r="I24" s="26">
        <f>472.28*0.05</f>
        <v>23.614000000000001</v>
      </c>
    </row>
    <row r="25" spans="2:13" ht="26.4" x14ac:dyDescent="0.3">
      <c r="B25" s="19">
        <v>3</v>
      </c>
      <c r="C25" s="20" t="s">
        <v>110</v>
      </c>
      <c r="D25" s="114" t="s">
        <v>30</v>
      </c>
      <c r="E25" s="115"/>
      <c r="F25" s="24" t="s">
        <v>32</v>
      </c>
      <c r="G25" s="25" t="s">
        <v>31</v>
      </c>
      <c r="H25" s="25">
        <v>1</v>
      </c>
      <c r="I25" s="26">
        <f>(12483.4*1.9%)+(12481.56*1.6%)</f>
        <v>436.88955999999996</v>
      </c>
      <c r="M25" s="42"/>
    </row>
    <row r="26" spans="2:13" x14ac:dyDescent="0.3">
      <c r="B26" s="119" t="s">
        <v>108</v>
      </c>
      <c r="C26" s="120"/>
      <c r="D26" s="120"/>
      <c r="E26" s="120"/>
      <c r="F26" s="120"/>
      <c r="G26" s="120"/>
      <c r="H26" s="121"/>
      <c r="I26" s="41">
        <f>SUM(I23:I25)</f>
        <v>1735.6595600000001</v>
      </c>
    </row>
    <row r="27" spans="2:13" x14ac:dyDescent="0.3">
      <c r="B27" s="116" t="s">
        <v>111</v>
      </c>
      <c r="C27" s="117"/>
      <c r="D27" s="117"/>
      <c r="E27" s="117"/>
      <c r="F27" s="117"/>
      <c r="G27" s="117"/>
      <c r="H27" s="117"/>
      <c r="I27" s="118"/>
    </row>
    <row r="28" spans="2:13" ht="26.4" x14ac:dyDescent="0.3">
      <c r="B28" s="19">
        <v>1</v>
      </c>
      <c r="C28" s="20" t="s">
        <v>112</v>
      </c>
      <c r="D28" s="114" t="s">
        <v>30</v>
      </c>
      <c r="E28" s="115"/>
      <c r="F28" s="24" t="s">
        <v>28</v>
      </c>
      <c r="G28" s="25" t="s">
        <v>29</v>
      </c>
      <c r="H28" s="25">
        <v>472.28</v>
      </c>
      <c r="I28" s="26">
        <f>H28*2.7</f>
        <v>1275.1559999999999</v>
      </c>
    </row>
    <row r="29" spans="2:13" ht="52.8" x14ac:dyDescent="0.3">
      <c r="B29" s="19">
        <v>2</v>
      </c>
      <c r="C29" s="20" t="s">
        <v>112</v>
      </c>
      <c r="D29" s="114" t="s">
        <v>30</v>
      </c>
      <c r="E29" s="115"/>
      <c r="F29" s="45" t="s">
        <v>146</v>
      </c>
      <c r="G29" s="25" t="s">
        <v>70</v>
      </c>
      <c r="H29" s="25">
        <v>1</v>
      </c>
      <c r="I29" s="26">
        <f>472.28*0.05</f>
        <v>23.614000000000001</v>
      </c>
    </row>
    <row r="30" spans="2:13" ht="26.4" x14ac:dyDescent="0.3">
      <c r="B30" s="19">
        <v>3</v>
      </c>
      <c r="C30" s="20" t="s">
        <v>112</v>
      </c>
      <c r="D30" s="114" t="s">
        <v>30</v>
      </c>
      <c r="E30" s="115"/>
      <c r="F30" s="24" t="s">
        <v>32</v>
      </c>
      <c r="G30" s="25" t="s">
        <v>31</v>
      </c>
      <c r="H30" s="25">
        <v>1</v>
      </c>
      <c r="I30" s="26">
        <f>(6311.2*1.9%)+(9438.17*1.6%)</f>
        <v>270.92352</v>
      </c>
    </row>
    <row r="31" spans="2:13" x14ac:dyDescent="0.3">
      <c r="B31" s="119" t="s">
        <v>113</v>
      </c>
      <c r="C31" s="120"/>
      <c r="D31" s="120"/>
      <c r="E31" s="120"/>
      <c r="F31" s="120"/>
      <c r="G31" s="120"/>
      <c r="H31" s="121"/>
      <c r="I31" s="41">
        <f>SUM(I28:I30)</f>
        <v>1569.69352</v>
      </c>
    </row>
    <row r="32" spans="2:13" x14ac:dyDescent="0.3">
      <c r="B32" s="116" t="s">
        <v>118</v>
      </c>
      <c r="C32" s="117"/>
      <c r="D32" s="117"/>
      <c r="E32" s="117"/>
      <c r="F32" s="117"/>
      <c r="G32" s="117"/>
      <c r="H32" s="117"/>
      <c r="I32" s="118"/>
    </row>
    <row r="33" spans="2:9" ht="26.4" x14ac:dyDescent="0.3">
      <c r="B33" s="19">
        <v>1</v>
      </c>
      <c r="C33" s="20" t="s">
        <v>119</v>
      </c>
      <c r="D33" s="114" t="s">
        <v>30</v>
      </c>
      <c r="E33" s="115"/>
      <c r="F33" s="24" t="s">
        <v>28</v>
      </c>
      <c r="G33" s="25" t="s">
        <v>29</v>
      </c>
      <c r="H33" s="25">
        <v>472.28</v>
      </c>
      <c r="I33" s="26">
        <f>H33*2.7</f>
        <v>1275.1559999999999</v>
      </c>
    </row>
    <row r="34" spans="2:9" ht="52.8" x14ac:dyDescent="0.3">
      <c r="B34" s="19">
        <v>2</v>
      </c>
      <c r="C34" s="20" t="s">
        <v>119</v>
      </c>
      <c r="D34" s="114" t="s">
        <v>30</v>
      </c>
      <c r="E34" s="115"/>
      <c r="F34" s="45" t="s">
        <v>146</v>
      </c>
      <c r="G34" s="25" t="s">
        <v>70</v>
      </c>
      <c r="H34" s="25">
        <v>1</v>
      </c>
      <c r="I34" s="26">
        <f>472.28*0.05</f>
        <v>23.614000000000001</v>
      </c>
    </row>
    <row r="35" spans="2:9" ht="26.4" x14ac:dyDescent="0.3">
      <c r="B35" s="19">
        <v>3</v>
      </c>
      <c r="C35" s="20" t="s">
        <v>119</v>
      </c>
      <c r="D35" s="114" t="s">
        <v>30</v>
      </c>
      <c r="E35" s="115"/>
      <c r="F35" s="24" t="s">
        <v>32</v>
      </c>
      <c r="G35" s="25" t="s">
        <v>31</v>
      </c>
      <c r="H35" s="25">
        <v>1</v>
      </c>
      <c r="I35" s="26">
        <f>(12463.48*1.9%)+(8018.23*1.6%)</f>
        <v>365.09780000000001</v>
      </c>
    </row>
    <row r="36" spans="2:9" ht="26.4" x14ac:dyDescent="0.3">
      <c r="B36" s="19">
        <v>4</v>
      </c>
      <c r="C36" s="20" t="s">
        <v>119</v>
      </c>
      <c r="D36" s="114" t="s">
        <v>30</v>
      </c>
      <c r="E36" s="115"/>
      <c r="F36" s="24" t="s">
        <v>89</v>
      </c>
      <c r="G36" s="25" t="s">
        <v>70</v>
      </c>
      <c r="H36" s="25">
        <v>1</v>
      </c>
      <c r="I36" s="26">
        <v>2550</v>
      </c>
    </row>
    <row r="37" spans="2:9" x14ac:dyDescent="0.3">
      <c r="B37" s="119" t="s">
        <v>120</v>
      </c>
      <c r="C37" s="120"/>
      <c r="D37" s="120"/>
      <c r="E37" s="120"/>
      <c r="F37" s="120"/>
      <c r="G37" s="120"/>
      <c r="H37" s="121"/>
      <c r="I37" s="41">
        <f>SUM(I33:I36)</f>
        <v>4213.8678</v>
      </c>
    </row>
    <row r="38" spans="2:9" x14ac:dyDescent="0.3">
      <c r="B38" s="116" t="s">
        <v>121</v>
      </c>
      <c r="C38" s="117"/>
      <c r="D38" s="117"/>
      <c r="E38" s="117"/>
      <c r="F38" s="117"/>
      <c r="G38" s="117"/>
      <c r="H38" s="117"/>
      <c r="I38" s="118"/>
    </row>
    <row r="39" spans="2:9" ht="26.4" x14ac:dyDescent="0.3">
      <c r="B39" s="19">
        <v>1</v>
      </c>
      <c r="C39" s="20" t="s">
        <v>123</v>
      </c>
      <c r="D39" s="114" t="s">
        <v>30</v>
      </c>
      <c r="E39" s="115"/>
      <c r="F39" s="24" t="s">
        <v>28</v>
      </c>
      <c r="G39" s="25" t="s">
        <v>29</v>
      </c>
      <c r="H39" s="25">
        <v>472.28</v>
      </c>
      <c r="I39" s="26">
        <f>H39*2.7</f>
        <v>1275.1559999999999</v>
      </c>
    </row>
    <row r="40" spans="2:9" ht="52.8" x14ac:dyDescent="0.3">
      <c r="B40" s="19">
        <v>2</v>
      </c>
      <c r="C40" s="20" t="s">
        <v>123</v>
      </c>
      <c r="D40" s="114" t="s">
        <v>30</v>
      </c>
      <c r="E40" s="115"/>
      <c r="F40" s="45" t="s">
        <v>146</v>
      </c>
      <c r="G40" s="25" t="s">
        <v>70</v>
      </c>
      <c r="H40" s="25">
        <v>1</v>
      </c>
      <c r="I40" s="26">
        <f>472.28*0.05</f>
        <v>23.614000000000001</v>
      </c>
    </row>
    <row r="41" spans="2:9" ht="26.4" x14ac:dyDescent="0.3">
      <c r="B41" s="19">
        <v>3</v>
      </c>
      <c r="C41" s="20" t="s">
        <v>123</v>
      </c>
      <c r="D41" s="114" t="s">
        <v>30</v>
      </c>
      <c r="E41" s="115"/>
      <c r="F41" s="24" t="s">
        <v>32</v>
      </c>
      <c r="G41" s="25" t="s">
        <v>31</v>
      </c>
      <c r="H41" s="25">
        <v>1</v>
      </c>
      <c r="I41" s="26">
        <f>(12463.48*1.9%)+(10218.93*1.6%)</f>
        <v>400.30899999999997</v>
      </c>
    </row>
    <row r="42" spans="2:9" ht="30.75" customHeight="1" x14ac:dyDescent="0.3">
      <c r="B42" s="19">
        <v>4</v>
      </c>
      <c r="C42" s="20" t="s">
        <v>123</v>
      </c>
      <c r="D42" s="114" t="s">
        <v>30</v>
      </c>
      <c r="E42" s="115"/>
      <c r="F42" s="24" t="s">
        <v>122</v>
      </c>
      <c r="G42" s="25" t="s">
        <v>31</v>
      </c>
      <c r="H42" s="25">
        <v>1</v>
      </c>
      <c r="I42" s="26">
        <v>1020</v>
      </c>
    </row>
    <row r="43" spans="2:9" x14ac:dyDescent="0.3">
      <c r="B43" s="119" t="s">
        <v>124</v>
      </c>
      <c r="C43" s="120"/>
      <c r="D43" s="120"/>
      <c r="E43" s="120"/>
      <c r="F43" s="120"/>
      <c r="G43" s="120"/>
      <c r="H43" s="121"/>
      <c r="I43" s="41">
        <f>SUM(I39:I42)</f>
        <v>2719.0789999999997</v>
      </c>
    </row>
    <row r="44" spans="2:9" x14ac:dyDescent="0.3">
      <c r="B44" s="116" t="s">
        <v>68</v>
      </c>
      <c r="C44" s="117"/>
      <c r="D44" s="117"/>
      <c r="E44" s="117"/>
      <c r="F44" s="117"/>
      <c r="G44" s="117"/>
      <c r="H44" s="117"/>
      <c r="I44" s="118"/>
    </row>
    <row r="45" spans="2:9" ht="26.4" x14ac:dyDescent="0.3">
      <c r="B45" s="19">
        <v>1</v>
      </c>
      <c r="C45" s="20" t="s">
        <v>125</v>
      </c>
      <c r="D45" s="114" t="s">
        <v>30</v>
      </c>
      <c r="E45" s="115"/>
      <c r="F45" s="24" t="s">
        <v>28</v>
      </c>
      <c r="G45" s="25" t="s">
        <v>29</v>
      </c>
      <c r="H45" s="25">
        <v>472.28</v>
      </c>
      <c r="I45" s="26">
        <f>H45*2.7</f>
        <v>1275.1559999999999</v>
      </c>
    </row>
    <row r="46" spans="2:9" ht="52.8" x14ac:dyDescent="0.3">
      <c r="B46" s="19">
        <v>2</v>
      </c>
      <c r="C46" s="20" t="s">
        <v>125</v>
      </c>
      <c r="D46" s="114" t="s">
        <v>30</v>
      </c>
      <c r="E46" s="115"/>
      <c r="F46" s="45" t="s">
        <v>146</v>
      </c>
      <c r="G46" s="25" t="s">
        <v>70</v>
      </c>
      <c r="H46" s="25">
        <v>1</v>
      </c>
      <c r="I46" s="26">
        <f>472.28*0.05</f>
        <v>23.614000000000001</v>
      </c>
    </row>
    <row r="47" spans="2:9" ht="26.4" x14ac:dyDescent="0.3">
      <c r="B47" s="19">
        <v>3</v>
      </c>
      <c r="C47" s="20" t="s">
        <v>125</v>
      </c>
      <c r="D47" s="114" t="s">
        <v>30</v>
      </c>
      <c r="E47" s="115"/>
      <c r="F47" s="24" t="s">
        <v>32</v>
      </c>
      <c r="G47" s="25" t="s">
        <v>31</v>
      </c>
      <c r="H47" s="25">
        <v>1</v>
      </c>
      <c r="I47" s="26">
        <f>(12463.48*1.9%)+(13299.41*1.9%)</f>
        <v>489.49491</v>
      </c>
    </row>
    <row r="48" spans="2:9" x14ac:dyDescent="0.3">
      <c r="B48" s="119" t="s">
        <v>126</v>
      </c>
      <c r="C48" s="120"/>
      <c r="D48" s="120"/>
      <c r="E48" s="120"/>
      <c r="F48" s="120"/>
      <c r="G48" s="120"/>
      <c r="H48" s="121"/>
      <c r="I48" s="41">
        <f>SUM(I45:I47)</f>
        <v>1788.2649099999999</v>
      </c>
    </row>
    <row r="49" spans="2:9" x14ac:dyDescent="0.3">
      <c r="B49" s="116" t="s">
        <v>127</v>
      </c>
      <c r="C49" s="117"/>
      <c r="D49" s="117"/>
      <c r="E49" s="117"/>
      <c r="F49" s="117"/>
      <c r="G49" s="117"/>
      <c r="H49" s="117"/>
      <c r="I49" s="118"/>
    </row>
    <row r="50" spans="2:9" ht="26.4" x14ac:dyDescent="0.3">
      <c r="B50" s="19">
        <v>1</v>
      </c>
      <c r="C50" s="20" t="s">
        <v>128</v>
      </c>
      <c r="D50" s="114" t="s">
        <v>30</v>
      </c>
      <c r="E50" s="115"/>
      <c r="F50" s="24" t="s">
        <v>28</v>
      </c>
      <c r="G50" s="25" t="s">
        <v>29</v>
      </c>
      <c r="H50" s="25">
        <v>472.28</v>
      </c>
      <c r="I50" s="26">
        <f>H50*2.7</f>
        <v>1275.1559999999999</v>
      </c>
    </row>
    <row r="51" spans="2:9" ht="52.8" x14ac:dyDescent="0.3">
      <c r="B51" s="19">
        <v>2</v>
      </c>
      <c r="C51" s="20" t="s">
        <v>128</v>
      </c>
      <c r="D51" s="114" t="s">
        <v>30</v>
      </c>
      <c r="E51" s="115"/>
      <c r="F51" s="45" t="s">
        <v>146</v>
      </c>
      <c r="G51" s="25" t="s">
        <v>70</v>
      </c>
      <c r="H51" s="25">
        <v>1</v>
      </c>
      <c r="I51" s="26">
        <f>472.28*0.05</f>
        <v>23.614000000000001</v>
      </c>
    </row>
    <row r="52" spans="2:9" ht="26.4" x14ac:dyDescent="0.3">
      <c r="B52" s="19">
        <v>3</v>
      </c>
      <c r="C52" s="20" t="s">
        <v>128</v>
      </c>
      <c r="D52" s="114" t="s">
        <v>30</v>
      </c>
      <c r="E52" s="115"/>
      <c r="F52" s="24" t="s">
        <v>89</v>
      </c>
      <c r="G52" s="25" t="s">
        <v>70</v>
      </c>
      <c r="H52" s="25">
        <v>1</v>
      </c>
      <c r="I52" s="26">
        <v>2975</v>
      </c>
    </row>
    <row r="53" spans="2:9" ht="26.4" x14ac:dyDescent="0.3">
      <c r="B53" s="19">
        <v>4</v>
      </c>
      <c r="C53" s="20" t="s">
        <v>128</v>
      </c>
      <c r="D53" s="114" t="s">
        <v>30</v>
      </c>
      <c r="E53" s="115"/>
      <c r="F53" s="24" t="s">
        <v>32</v>
      </c>
      <c r="G53" s="25" t="s">
        <v>31</v>
      </c>
      <c r="H53" s="25">
        <v>1</v>
      </c>
      <c r="I53" s="26">
        <f>(13811.48*1.9%)+(13405.03*1.6%)</f>
        <v>476.89859999999999</v>
      </c>
    </row>
    <row r="54" spans="2:9" x14ac:dyDescent="0.3">
      <c r="B54" s="119" t="s">
        <v>129</v>
      </c>
      <c r="C54" s="120"/>
      <c r="D54" s="120"/>
      <c r="E54" s="120"/>
      <c r="F54" s="120"/>
      <c r="G54" s="120"/>
      <c r="H54" s="121"/>
      <c r="I54" s="41">
        <f>SUM(I50:I53)</f>
        <v>4750.6686000000009</v>
      </c>
    </row>
    <row r="55" spans="2:9" x14ac:dyDescent="0.3">
      <c r="B55" s="116" t="s">
        <v>130</v>
      </c>
      <c r="C55" s="117"/>
      <c r="D55" s="117"/>
      <c r="E55" s="117"/>
      <c r="F55" s="117"/>
      <c r="G55" s="117"/>
      <c r="H55" s="117"/>
      <c r="I55" s="118"/>
    </row>
    <row r="56" spans="2:9" ht="26.4" x14ac:dyDescent="0.3">
      <c r="B56" s="19">
        <v>1</v>
      </c>
      <c r="C56" s="20" t="s">
        <v>132</v>
      </c>
      <c r="D56" s="114" t="s">
        <v>30</v>
      </c>
      <c r="E56" s="115"/>
      <c r="F56" s="24" t="s">
        <v>28</v>
      </c>
      <c r="G56" s="25" t="s">
        <v>29</v>
      </c>
      <c r="H56" s="25">
        <v>472.28</v>
      </c>
      <c r="I56" s="26">
        <f>H56*2.7</f>
        <v>1275.1559999999999</v>
      </c>
    </row>
    <row r="57" spans="2:9" ht="52.8" x14ac:dyDescent="0.3">
      <c r="B57" s="19">
        <v>2</v>
      </c>
      <c r="C57" s="20" t="s">
        <v>132</v>
      </c>
      <c r="D57" s="114" t="s">
        <v>30</v>
      </c>
      <c r="E57" s="115"/>
      <c r="F57" s="45" t="s">
        <v>146</v>
      </c>
      <c r="G57" s="25" t="s">
        <v>70</v>
      </c>
      <c r="H57" s="25">
        <v>1</v>
      </c>
      <c r="I57" s="26">
        <f>472.28*0.05</f>
        <v>23.614000000000001</v>
      </c>
    </row>
    <row r="58" spans="2:9" ht="26.4" x14ac:dyDescent="0.3">
      <c r="B58" s="19">
        <v>3</v>
      </c>
      <c r="C58" s="20" t="s">
        <v>132</v>
      </c>
      <c r="D58" s="114" t="s">
        <v>30</v>
      </c>
      <c r="E58" s="115"/>
      <c r="F58" s="24" t="s">
        <v>32</v>
      </c>
      <c r="G58" s="25" t="s">
        <v>31</v>
      </c>
      <c r="H58" s="25">
        <v>1</v>
      </c>
      <c r="I58" s="26">
        <f>(13811.48*1.9%)+(13504.27*1.6%)</f>
        <v>478.48644000000002</v>
      </c>
    </row>
    <row r="59" spans="2:9" ht="30.75" customHeight="1" x14ac:dyDescent="0.3">
      <c r="B59" s="19">
        <v>4</v>
      </c>
      <c r="C59" s="20" t="s">
        <v>132</v>
      </c>
      <c r="D59" s="114" t="s">
        <v>30</v>
      </c>
      <c r="E59" s="115"/>
      <c r="F59" s="24" t="s">
        <v>131</v>
      </c>
      <c r="G59" s="25" t="s">
        <v>70</v>
      </c>
      <c r="H59" s="25">
        <v>1</v>
      </c>
      <c r="I59" s="26">
        <v>2320</v>
      </c>
    </row>
    <row r="60" spans="2:9" x14ac:dyDescent="0.3">
      <c r="B60" s="119" t="s">
        <v>133</v>
      </c>
      <c r="C60" s="120"/>
      <c r="D60" s="120"/>
      <c r="E60" s="120"/>
      <c r="F60" s="120"/>
      <c r="G60" s="120"/>
      <c r="H60" s="121"/>
      <c r="I60" s="41">
        <f>SUM(I56:I59)</f>
        <v>4097.2564400000001</v>
      </c>
    </row>
    <row r="61" spans="2:9" ht="12.75" customHeight="1" x14ac:dyDescent="0.3">
      <c r="B61" s="116" t="s">
        <v>134</v>
      </c>
      <c r="C61" s="117"/>
      <c r="D61" s="117"/>
      <c r="E61" s="117"/>
      <c r="F61" s="117"/>
      <c r="G61" s="117"/>
      <c r="H61" s="117"/>
      <c r="I61" s="118"/>
    </row>
    <row r="62" spans="2:9" ht="26.4" x14ac:dyDescent="0.3">
      <c r="B62" s="19">
        <v>1</v>
      </c>
      <c r="C62" s="20" t="s">
        <v>136</v>
      </c>
      <c r="D62" s="114" t="s">
        <v>30</v>
      </c>
      <c r="E62" s="115"/>
      <c r="F62" s="24" t="s">
        <v>28</v>
      </c>
      <c r="G62" s="25" t="s">
        <v>29</v>
      </c>
      <c r="H62" s="25">
        <v>472.28</v>
      </c>
      <c r="I62" s="26">
        <f>H62*2.7</f>
        <v>1275.1559999999999</v>
      </c>
    </row>
    <row r="63" spans="2:9" x14ac:dyDescent="0.3">
      <c r="B63" s="19">
        <v>2</v>
      </c>
      <c r="C63" s="20" t="s">
        <v>136</v>
      </c>
      <c r="D63" s="114" t="s">
        <v>30</v>
      </c>
      <c r="E63" s="115"/>
      <c r="F63" s="24" t="s">
        <v>135</v>
      </c>
      <c r="G63" s="25" t="s">
        <v>70</v>
      </c>
      <c r="H63" s="25">
        <v>1</v>
      </c>
      <c r="I63" s="26">
        <v>2026</v>
      </c>
    </row>
    <row r="64" spans="2:9" ht="52.8" x14ac:dyDescent="0.3">
      <c r="B64" s="19">
        <v>3</v>
      </c>
      <c r="C64" s="20" t="s">
        <v>136</v>
      </c>
      <c r="D64" s="114" t="s">
        <v>30</v>
      </c>
      <c r="E64" s="115"/>
      <c r="F64" s="45" t="s">
        <v>146</v>
      </c>
      <c r="G64" s="25" t="s">
        <v>70</v>
      </c>
      <c r="H64" s="25">
        <v>1</v>
      </c>
      <c r="I64" s="26">
        <f>472.28*0.05</f>
        <v>23.614000000000001</v>
      </c>
    </row>
    <row r="65" spans="2:15" ht="26.4" x14ac:dyDescent="0.3">
      <c r="B65" s="19">
        <v>4</v>
      </c>
      <c r="C65" s="20" t="s">
        <v>136</v>
      </c>
      <c r="D65" s="114" t="s">
        <v>30</v>
      </c>
      <c r="E65" s="115"/>
      <c r="F65" s="24" t="s">
        <v>32</v>
      </c>
      <c r="G65" s="25" t="s">
        <v>31</v>
      </c>
      <c r="H65" s="25">
        <v>1</v>
      </c>
      <c r="I65" s="26">
        <f>(13811.48*1.9%)+(16344.09*1.6%)</f>
        <v>523.92355999999995</v>
      </c>
    </row>
    <row r="66" spans="2:15" ht="12.75" customHeight="1" x14ac:dyDescent="0.3">
      <c r="B66" s="119" t="s">
        <v>137</v>
      </c>
      <c r="C66" s="120"/>
      <c r="D66" s="120"/>
      <c r="E66" s="120"/>
      <c r="F66" s="120"/>
      <c r="G66" s="120"/>
      <c r="H66" s="121"/>
      <c r="I66" s="41">
        <f>SUM(I62:I65)</f>
        <v>3848.6935599999997</v>
      </c>
    </row>
    <row r="67" spans="2:15" x14ac:dyDescent="0.3">
      <c r="B67" s="116" t="s">
        <v>138</v>
      </c>
      <c r="C67" s="117"/>
      <c r="D67" s="117"/>
      <c r="E67" s="117"/>
      <c r="F67" s="117"/>
      <c r="G67" s="117"/>
      <c r="H67" s="117"/>
      <c r="I67" s="118"/>
    </row>
    <row r="68" spans="2:15" ht="26.4" x14ac:dyDescent="0.3">
      <c r="B68" s="19">
        <v>1</v>
      </c>
      <c r="C68" s="20" t="s">
        <v>139</v>
      </c>
      <c r="D68" s="114" t="s">
        <v>30</v>
      </c>
      <c r="E68" s="115"/>
      <c r="F68" s="24" t="s">
        <v>28</v>
      </c>
      <c r="G68" s="25" t="s">
        <v>29</v>
      </c>
      <c r="H68" s="25">
        <v>472.28</v>
      </c>
      <c r="I68" s="26">
        <f>H68*2.7</f>
        <v>1275.1559999999999</v>
      </c>
    </row>
    <row r="69" spans="2:15" ht="52.8" x14ac:dyDescent="0.3">
      <c r="B69" s="19">
        <v>2</v>
      </c>
      <c r="C69" s="20" t="s">
        <v>139</v>
      </c>
      <c r="D69" s="114" t="s">
        <v>30</v>
      </c>
      <c r="E69" s="115"/>
      <c r="F69" s="45" t="s">
        <v>146</v>
      </c>
      <c r="G69" s="25" t="s">
        <v>70</v>
      </c>
      <c r="H69" s="25">
        <v>1</v>
      </c>
      <c r="I69" s="26">
        <f>472.28*0.05</f>
        <v>23.614000000000001</v>
      </c>
    </row>
    <row r="70" spans="2:15" ht="26.4" x14ac:dyDescent="0.3">
      <c r="B70" s="19">
        <v>3</v>
      </c>
      <c r="C70" s="20" t="s">
        <v>139</v>
      </c>
      <c r="D70" s="114" t="s">
        <v>30</v>
      </c>
      <c r="E70" s="115"/>
      <c r="F70" s="24" t="s">
        <v>32</v>
      </c>
      <c r="G70" s="25" t="s">
        <v>31</v>
      </c>
      <c r="H70" s="25">
        <v>1</v>
      </c>
      <c r="I70" s="26">
        <f>(12475.72*1.9%)+(13171.91*1.6%)</f>
        <v>447.78923999999995</v>
      </c>
    </row>
    <row r="71" spans="2:15" x14ac:dyDescent="0.3">
      <c r="B71" s="119" t="s">
        <v>140</v>
      </c>
      <c r="C71" s="120"/>
      <c r="D71" s="120"/>
      <c r="E71" s="120"/>
      <c r="F71" s="120"/>
      <c r="G71" s="120"/>
      <c r="H71" s="121"/>
      <c r="I71" s="41">
        <f>SUM(I68:I70)</f>
        <v>1746.55924</v>
      </c>
    </row>
    <row r="72" spans="2:15" x14ac:dyDescent="0.3">
      <c r="B72" s="116" t="s">
        <v>141</v>
      </c>
      <c r="C72" s="117"/>
      <c r="D72" s="117"/>
      <c r="E72" s="117"/>
      <c r="F72" s="117"/>
      <c r="G72" s="117"/>
      <c r="H72" s="117"/>
      <c r="I72" s="118"/>
    </row>
    <row r="73" spans="2:15" ht="26.4" x14ac:dyDescent="0.3">
      <c r="B73" s="19">
        <v>1</v>
      </c>
      <c r="C73" s="20" t="s">
        <v>142</v>
      </c>
      <c r="D73" s="114" t="s">
        <v>30</v>
      </c>
      <c r="E73" s="115"/>
      <c r="F73" s="24" t="s">
        <v>28</v>
      </c>
      <c r="G73" s="25" t="s">
        <v>29</v>
      </c>
      <c r="H73" s="25">
        <v>472.28</v>
      </c>
      <c r="I73" s="26">
        <f>H73*2.7</f>
        <v>1275.1559999999999</v>
      </c>
      <c r="O73" s="42"/>
    </row>
    <row r="74" spans="2:15" ht="52.8" x14ac:dyDescent="0.3">
      <c r="B74" s="19">
        <v>2</v>
      </c>
      <c r="C74" s="20" t="s">
        <v>142</v>
      </c>
      <c r="D74" s="114" t="s">
        <v>30</v>
      </c>
      <c r="E74" s="115"/>
      <c r="F74" s="45" t="s">
        <v>146</v>
      </c>
      <c r="G74" s="25" t="s">
        <v>70</v>
      </c>
      <c r="H74" s="25">
        <v>1</v>
      </c>
      <c r="I74" s="26">
        <f>472.28*0.05</f>
        <v>23.614000000000001</v>
      </c>
    </row>
    <row r="75" spans="2:15" ht="26.4" x14ac:dyDescent="0.3">
      <c r="B75" s="19">
        <v>3</v>
      </c>
      <c r="C75" s="20" t="s">
        <v>142</v>
      </c>
      <c r="D75" s="114" t="s">
        <v>30</v>
      </c>
      <c r="E75" s="115"/>
      <c r="F75" s="24" t="s">
        <v>32</v>
      </c>
      <c r="G75" s="25" t="s">
        <v>31</v>
      </c>
      <c r="H75" s="25">
        <v>1</v>
      </c>
      <c r="I75" s="26">
        <f>(13811.48*1.9%)+(21052.88*1.6%)</f>
        <v>599.26420000000007</v>
      </c>
    </row>
    <row r="76" spans="2:15" x14ac:dyDescent="0.3">
      <c r="B76" s="19">
        <v>4</v>
      </c>
      <c r="C76" s="20" t="s">
        <v>142</v>
      </c>
      <c r="D76" s="114" t="s">
        <v>30</v>
      </c>
      <c r="E76" s="115"/>
      <c r="F76" s="24" t="s">
        <v>71</v>
      </c>
      <c r="G76" s="25" t="s">
        <v>70</v>
      </c>
      <c r="H76" s="25">
        <v>1</v>
      </c>
      <c r="I76" s="26">
        <v>3600</v>
      </c>
    </row>
    <row r="77" spans="2:15" x14ac:dyDescent="0.3">
      <c r="B77" s="119" t="s">
        <v>143</v>
      </c>
      <c r="C77" s="120"/>
      <c r="D77" s="120"/>
      <c r="E77" s="120"/>
      <c r="F77" s="120"/>
      <c r="G77" s="120"/>
      <c r="H77" s="121"/>
      <c r="I77" s="41">
        <f>SUM(I73:I76)</f>
        <v>5498.0342000000001</v>
      </c>
    </row>
    <row r="78" spans="2:15" ht="15.75" customHeight="1" x14ac:dyDescent="0.3">
      <c r="B78" s="132" t="s">
        <v>116</v>
      </c>
      <c r="C78" s="133"/>
      <c r="D78" s="133"/>
      <c r="E78" s="133"/>
      <c r="F78" s="133"/>
      <c r="G78" s="133"/>
      <c r="H78" s="134"/>
      <c r="I78" s="31">
        <f>I15+I21+I26+I31+I37+I43+I48+I54+I60+I66+I71+I77</f>
        <v>43844.208900000005</v>
      </c>
    </row>
    <row r="79" spans="2:15" x14ac:dyDescent="0.3">
      <c r="B79" s="21"/>
      <c r="C79" s="21"/>
      <c r="D79" s="22"/>
      <c r="E79" s="22"/>
      <c r="F79" s="22"/>
      <c r="G79" s="22"/>
      <c r="H79" s="22"/>
      <c r="I79" s="23"/>
    </row>
    <row r="80" spans="2:15" x14ac:dyDescent="0.3">
      <c r="B80" s="14"/>
      <c r="C80" s="14"/>
      <c r="D80" s="14"/>
      <c r="E80" s="14"/>
      <c r="F80" s="14"/>
      <c r="G80" s="14"/>
      <c r="H80" s="14"/>
      <c r="I80" s="14"/>
    </row>
    <row r="81" spans="2:9" ht="29.25" customHeight="1" x14ac:dyDescent="0.3">
      <c r="B81" s="126"/>
      <c r="C81" s="126"/>
      <c r="D81" s="126"/>
      <c r="E81" s="126"/>
      <c r="F81" s="126"/>
      <c r="G81" s="126"/>
      <c r="H81" s="126"/>
      <c r="I81" s="126"/>
    </row>
    <row r="82" spans="2:9" ht="14.4" x14ac:dyDescent="0.3">
      <c r="B82" s="93"/>
      <c r="C82" s="93"/>
      <c r="D82" s="93"/>
      <c r="E82" s="93"/>
    </row>
    <row r="83" spans="2:9" ht="14.4" x14ac:dyDescent="0.3">
      <c r="B83" s="94"/>
      <c r="C83" s="94"/>
      <c r="D83" s="94"/>
      <c r="E83" s="94"/>
      <c r="G83" s="94"/>
      <c r="H83" s="94"/>
      <c r="I83" s="94"/>
    </row>
  </sheetData>
  <mergeCells count="80">
    <mergeCell ref="D20:E20"/>
    <mergeCell ref="D25:E25"/>
    <mergeCell ref="B82:E82"/>
    <mergeCell ref="B83:E83"/>
    <mergeCell ref="G83:I83"/>
    <mergeCell ref="D28:E28"/>
    <mergeCell ref="D30:E30"/>
    <mergeCell ref="B37:H37"/>
    <mergeCell ref="B38:I38"/>
    <mergeCell ref="D39:E39"/>
    <mergeCell ref="D41:E41"/>
    <mergeCell ref="D42:E42"/>
    <mergeCell ref="D40:E40"/>
    <mergeCell ref="B48:H48"/>
    <mergeCell ref="B43:H43"/>
    <mergeCell ref="B44:I44"/>
    <mergeCell ref="H8:H9"/>
    <mergeCell ref="I8:I9"/>
    <mergeCell ref="B81:I81"/>
    <mergeCell ref="D8:E9"/>
    <mergeCell ref="B8:B9"/>
    <mergeCell ref="C8:C9"/>
    <mergeCell ref="F8:F9"/>
    <mergeCell ref="G8:G9"/>
    <mergeCell ref="B78:H78"/>
    <mergeCell ref="B16:I16"/>
    <mergeCell ref="D17:E17"/>
    <mergeCell ref="D19:E19"/>
    <mergeCell ref="D35:E35"/>
    <mergeCell ref="D36:E36"/>
    <mergeCell ref="B26:H26"/>
    <mergeCell ref="B27:I27"/>
    <mergeCell ref="D45:E45"/>
    <mergeCell ref="D47:E47"/>
    <mergeCell ref="D46:E46"/>
    <mergeCell ref="B49:I49"/>
    <mergeCell ref="D50:E50"/>
    <mergeCell ref="D53:E53"/>
    <mergeCell ref="B54:H54"/>
    <mergeCell ref="D52:E52"/>
    <mergeCell ref="D51:E51"/>
    <mergeCell ref="B55:I55"/>
    <mergeCell ref="D56:E56"/>
    <mergeCell ref="D58:E58"/>
    <mergeCell ref="D59:E59"/>
    <mergeCell ref="B60:H60"/>
    <mergeCell ref="D57:E57"/>
    <mergeCell ref="B67:I67"/>
    <mergeCell ref="D68:E68"/>
    <mergeCell ref="D70:E70"/>
    <mergeCell ref="B71:H71"/>
    <mergeCell ref="B61:I61"/>
    <mergeCell ref="D62:E62"/>
    <mergeCell ref="D65:E65"/>
    <mergeCell ref="B66:H66"/>
    <mergeCell ref="D63:E63"/>
    <mergeCell ref="D64:E64"/>
    <mergeCell ref="D69:E69"/>
    <mergeCell ref="B72:I72"/>
    <mergeCell ref="D73:E73"/>
    <mergeCell ref="D75:E75"/>
    <mergeCell ref="B77:H77"/>
    <mergeCell ref="D76:E76"/>
    <mergeCell ref="D74:E74"/>
    <mergeCell ref="D18:E18"/>
    <mergeCell ref="D24:E24"/>
    <mergeCell ref="D29:E29"/>
    <mergeCell ref="D34:E34"/>
    <mergeCell ref="B10:I10"/>
    <mergeCell ref="D11:E11"/>
    <mergeCell ref="D14:E14"/>
    <mergeCell ref="B15:H15"/>
    <mergeCell ref="D12:E12"/>
    <mergeCell ref="D13:E13"/>
    <mergeCell ref="B31:H31"/>
    <mergeCell ref="B32:I32"/>
    <mergeCell ref="D33:E33"/>
    <mergeCell ref="B21:H21"/>
    <mergeCell ref="B22:I22"/>
    <mergeCell ref="D23:E23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1"/>
  <sheetViews>
    <sheetView zoomScaleNormal="100" workbookViewId="0">
      <selection activeCell="B19" sqref="B19:I19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147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97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76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29" t="s">
        <v>20</v>
      </c>
      <c r="C8" s="122" t="s">
        <v>27</v>
      </c>
      <c r="D8" s="127" t="s">
        <v>21</v>
      </c>
      <c r="E8" s="124"/>
      <c r="F8" s="122" t="s">
        <v>22</v>
      </c>
      <c r="G8" s="122" t="s">
        <v>23</v>
      </c>
      <c r="H8" s="122" t="s">
        <v>24</v>
      </c>
      <c r="I8" s="124" t="s">
        <v>26</v>
      </c>
    </row>
    <row r="9" spans="2:10" ht="24" customHeight="1" x14ac:dyDescent="0.3">
      <c r="B9" s="130"/>
      <c r="C9" s="123"/>
      <c r="D9" s="128"/>
      <c r="E9" s="125"/>
      <c r="F9" s="131"/>
      <c r="G9" s="131"/>
      <c r="H9" s="123"/>
      <c r="I9" s="125"/>
    </row>
    <row r="10" spans="2:10" x14ac:dyDescent="0.3">
      <c r="B10" s="116" t="s">
        <v>106</v>
      </c>
      <c r="C10" s="117"/>
      <c r="D10" s="117"/>
      <c r="E10" s="117"/>
      <c r="F10" s="117"/>
      <c r="G10" s="117"/>
      <c r="H10" s="117"/>
      <c r="I10" s="118"/>
    </row>
    <row r="11" spans="2:10" ht="26.4" x14ac:dyDescent="0.3">
      <c r="B11" s="19">
        <v>1</v>
      </c>
      <c r="C11" s="20" t="s">
        <v>107</v>
      </c>
      <c r="D11" s="114" t="s">
        <v>30</v>
      </c>
      <c r="E11" s="115"/>
      <c r="F11" s="24" t="s">
        <v>109</v>
      </c>
      <c r="G11" s="25" t="s">
        <v>70</v>
      </c>
      <c r="H11" s="25">
        <v>1</v>
      </c>
      <c r="I11" s="26">
        <v>2261</v>
      </c>
    </row>
    <row r="12" spans="2:10" x14ac:dyDescent="0.3">
      <c r="B12" s="119" t="s">
        <v>108</v>
      </c>
      <c r="C12" s="120"/>
      <c r="D12" s="120"/>
      <c r="E12" s="120"/>
      <c r="F12" s="120"/>
      <c r="G12" s="120"/>
      <c r="H12" s="121"/>
      <c r="I12" s="41">
        <f>SUM(I11:I11)</f>
        <v>2261</v>
      </c>
    </row>
    <row r="13" spans="2:10" x14ac:dyDescent="0.3">
      <c r="B13" s="116" t="s">
        <v>114</v>
      </c>
      <c r="C13" s="117"/>
      <c r="D13" s="117"/>
      <c r="E13" s="117"/>
      <c r="F13" s="117"/>
      <c r="G13" s="117"/>
      <c r="H13" s="117"/>
      <c r="I13" s="118"/>
    </row>
    <row r="14" spans="2:10" ht="39.6" x14ac:dyDescent="0.3">
      <c r="B14" s="19">
        <v>1</v>
      </c>
      <c r="C14" s="20" t="s">
        <v>112</v>
      </c>
      <c r="D14" s="114" t="s">
        <v>30</v>
      </c>
      <c r="E14" s="115"/>
      <c r="F14" s="24" t="s">
        <v>117</v>
      </c>
      <c r="G14" s="25" t="s">
        <v>70</v>
      </c>
      <c r="H14" s="25">
        <v>1</v>
      </c>
      <c r="I14" s="26">
        <v>83375</v>
      </c>
    </row>
    <row r="15" spans="2:10" x14ac:dyDescent="0.3">
      <c r="B15" s="119" t="s">
        <v>115</v>
      </c>
      <c r="C15" s="120"/>
      <c r="D15" s="120"/>
      <c r="E15" s="120"/>
      <c r="F15" s="120"/>
      <c r="G15" s="120"/>
      <c r="H15" s="121"/>
      <c r="I15" s="41">
        <f>SUM(I14:I14)</f>
        <v>83375</v>
      </c>
    </row>
    <row r="16" spans="2:10" ht="15.6" x14ac:dyDescent="0.3">
      <c r="B16" s="132" t="s">
        <v>116</v>
      </c>
      <c r="C16" s="133"/>
      <c r="D16" s="133"/>
      <c r="E16" s="133"/>
      <c r="F16" s="133"/>
      <c r="G16" s="133"/>
      <c r="H16" s="134"/>
      <c r="I16" s="31">
        <f>I12+I15</f>
        <v>85636</v>
      </c>
    </row>
    <row r="17" spans="2:9" x14ac:dyDescent="0.3">
      <c r="B17" s="21"/>
      <c r="C17" s="21"/>
      <c r="D17" s="22"/>
      <c r="E17" s="22"/>
      <c r="F17" s="22"/>
      <c r="G17" s="22"/>
      <c r="H17" s="22"/>
      <c r="I17" s="23"/>
    </row>
    <row r="18" spans="2:9" x14ac:dyDescent="0.3">
      <c r="B18" s="14"/>
      <c r="C18" s="14"/>
      <c r="D18" s="14"/>
      <c r="E18" s="14"/>
      <c r="F18" s="14"/>
      <c r="G18" s="14"/>
      <c r="H18" s="14"/>
      <c r="I18" s="14"/>
    </row>
    <row r="19" spans="2:9" ht="29.25" customHeight="1" x14ac:dyDescent="0.3">
      <c r="B19" s="126"/>
      <c r="C19" s="126"/>
      <c r="D19" s="126"/>
      <c r="E19" s="126"/>
      <c r="F19" s="126"/>
      <c r="G19" s="126"/>
      <c r="H19" s="126"/>
      <c r="I19" s="126"/>
    </row>
    <row r="20" spans="2:9" ht="14.4" x14ac:dyDescent="0.3">
      <c r="B20" s="93"/>
      <c r="C20" s="93"/>
      <c r="D20" s="93"/>
      <c r="E20" s="93"/>
    </row>
    <row r="21" spans="2:9" ht="14.4" x14ac:dyDescent="0.3">
      <c r="B21" s="94"/>
      <c r="C21" s="94"/>
      <c r="D21" s="94"/>
      <c r="E21" s="94"/>
      <c r="G21" s="94"/>
      <c r="H21" s="94"/>
      <c r="I21" s="94"/>
    </row>
  </sheetData>
  <mergeCells count="18">
    <mergeCell ref="B20:E20"/>
    <mergeCell ref="B21:E21"/>
    <mergeCell ref="G21:I21"/>
    <mergeCell ref="H8:H9"/>
    <mergeCell ref="I8:I9"/>
    <mergeCell ref="B19:I19"/>
    <mergeCell ref="B16:H16"/>
    <mergeCell ref="B13:I13"/>
    <mergeCell ref="D14:E14"/>
    <mergeCell ref="B10:I10"/>
    <mergeCell ref="B8:B9"/>
    <mergeCell ref="C8:C9"/>
    <mergeCell ref="D8:E9"/>
    <mergeCell ref="F8:F9"/>
    <mergeCell ref="G8:G9"/>
    <mergeCell ref="D11:E11"/>
    <mergeCell ref="B12:H12"/>
    <mergeCell ref="B15:H1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3"/>
  <sheetViews>
    <sheetView showRuler="0" zoomScaleNormal="100" workbookViewId="0">
      <selection activeCell="K48" sqref="K48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57" t="s">
        <v>145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x14ac:dyDescent="0.3">
      <c r="A2" s="157" t="s">
        <v>82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x14ac:dyDescent="0.3">
      <c r="A3" s="158" t="s">
        <v>144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x14ac:dyDescent="0.3">
      <c r="A4" s="64" t="s">
        <v>79</v>
      </c>
      <c r="B4" s="65"/>
      <c r="C4" s="65"/>
      <c r="D4" s="66"/>
      <c r="E4" s="64" t="s">
        <v>80</v>
      </c>
      <c r="F4" s="65"/>
      <c r="G4" s="65"/>
      <c r="H4" s="65"/>
      <c r="I4" s="66"/>
      <c r="J4" s="64" t="s">
        <v>83</v>
      </c>
      <c r="K4" s="65"/>
      <c r="L4" s="65"/>
      <c r="M4" s="66"/>
    </row>
    <row r="5" spans="1:13" x14ac:dyDescent="0.3">
      <c r="A5" s="64" t="s">
        <v>81</v>
      </c>
      <c r="B5" s="66"/>
      <c r="C5" s="64" t="s">
        <v>72</v>
      </c>
      <c r="D5" s="65"/>
      <c r="E5" s="65"/>
      <c r="F5" s="65"/>
      <c r="G5" s="65"/>
      <c r="H5" s="66"/>
      <c r="I5" s="64" t="s">
        <v>73</v>
      </c>
      <c r="J5" s="65"/>
      <c r="K5" s="65"/>
      <c r="L5" s="65"/>
      <c r="M5" s="66"/>
    </row>
    <row r="6" spans="1:13" x14ac:dyDescent="0.3">
      <c r="A6" s="64" t="s">
        <v>74</v>
      </c>
      <c r="B6" s="65"/>
      <c r="C6" s="65"/>
      <c r="D6" s="65"/>
      <c r="E6" s="65"/>
      <c r="F6" s="65"/>
      <c r="G6" s="66"/>
      <c r="H6" s="64" t="s">
        <v>75</v>
      </c>
      <c r="I6" s="65"/>
      <c r="J6" s="65"/>
      <c r="K6" s="65"/>
      <c r="L6" s="65"/>
      <c r="M6" s="66"/>
    </row>
    <row r="7" spans="1:13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38.25" customHeight="1" x14ac:dyDescent="0.3">
      <c r="A8" s="162" t="s">
        <v>34</v>
      </c>
      <c r="B8" s="162"/>
      <c r="C8" s="162"/>
      <c r="D8" s="162"/>
      <c r="E8" s="163" t="s">
        <v>35</v>
      </c>
      <c r="F8" s="163"/>
      <c r="G8" s="159" t="s">
        <v>36</v>
      </c>
      <c r="H8" s="160"/>
      <c r="I8" s="161"/>
      <c r="J8" s="159" t="s">
        <v>37</v>
      </c>
      <c r="K8" s="160"/>
      <c r="L8" s="161"/>
      <c r="M8" s="34" t="s">
        <v>38</v>
      </c>
    </row>
    <row r="9" spans="1:13" x14ac:dyDescent="0.3">
      <c r="A9" s="151" t="s">
        <v>39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</row>
    <row r="10" spans="1:13" x14ac:dyDescent="0.3">
      <c r="A10" s="154" t="s">
        <v>40</v>
      </c>
      <c r="B10" s="155"/>
      <c r="C10" s="155"/>
      <c r="D10" s="156"/>
      <c r="E10" s="57">
        <v>2647.46</v>
      </c>
      <c r="F10" s="47"/>
      <c r="G10" s="143">
        <v>30887.5</v>
      </c>
      <c r="H10" s="145"/>
      <c r="I10" s="144"/>
      <c r="J10" s="143">
        <v>31685.84</v>
      </c>
      <c r="K10" s="145"/>
      <c r="L10" s="144"/>
      <c r="M10" s="38">
        <v>1880.08</v>
      </c>
    </row>
    <row r="11" spans="1:13" ht="14.25" customHeight="1" x14ac:dyDescent="0.3">
      <c r="A11" s="140" t="s">
        <v>41</v>
      </c>
      <c r="B11" s="141"/>
      <c r="C11" s="141"/>
      <c r="D11" s="142"/>
      <c r="E11" s="57">
        <v>2647.48</v>
      </c>
      <c r="F11" s="57"/>
      <c r="G11" s="57">
        <v>30887.5</v>
      </c>
      <c r="H11" s="57"/>
      <c r="I11" s="57"/>
      <c r="J11" s="57">
        <v>31685.88</v>
      </c>
      <c r="K11" s="57"/>
      <c r="L11" s="57"/>
      <c r="M11" s="38">
        <v>1880.08</v>
      </c>
    </row>
    <row r="12" spans="1:13" ht="14.25" customHeight="1" x14ac:dyDescent="0.3">
      <c r="A12" s="140" t="s">
        <v>88</v>
      </c>
      <c r="B12" s="141"/>
      <c r="C12" s="141"/>
      <c r="D12" s="142"/>
      <c r="E12" s="138">
        <v>0</v>
      </c>
      <c r="F12" s="139"/>
      <c r="G12" s="138">
        <v>111508.04</v>
      </c>
      <c r="H12" s="49"/>
      <c r="I12" s="139"/>
      <c r="J12" s="138">
        <f>G12-M12</f>
        <v>106096.72</v>
      </c>
      <c r="K12" s="49"/>
      <c r="L12" s="139"/>
      <c r="M12" s="38">
        <v>5411.32</v>
      </c>
    </row>
    <row r="13" spans="1:13" ht="21" customHeight="1" x14ac:dyDescent="0.3">
      <c r="A13" s="101" t="s">
        <v>42</v>
      </c>
      <c r="B13" s="102"/>
      <c r="C13" s="102"/>
      <c r="D13" s="50"/>
      <c r="E13" s="138"/>
      <c r="F13" s="139"/>
      <c r="G13" s="138">
        <f>SUM(G10:G12)</f>
        <v>173283.03999999998</v>
      </c>
      <c r="H13" s="49"/>
      <c r="I13" s="139"/>
      <c r="J13" s="138">
        <f>SUM(J10:J12)</f>
        <v>169468.44</v>
      </c>
      <c r="K13" s="102"/>
      <c r="L13" s="50"/>
      <c r="M13" s="37">
        <f>SUM(M10:M12)</f>
        <v>9171.48</v>
      </c>
    </row>
    <row r="14" spans="1:13" x14ac:dyDescent="0.3">
      <c r="A14" s="47" t="s">
        <v>16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4">
        <v>752.03</v>
      </c>
    </row>
    <row r="15" spans="1:13" x14ac:dyDescent="0.3">
      <c r="A15" s="101" t="s">
        <v>56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50"/>
      <c r="M15" s="37">
        <v>24.15</v>
      </c>
    </row>
    <row r="16" spans="1:13" x14ac:dyDescent="0.3">
      <c r="A16" s="151" t="s">
        <v>43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3"/>
    </row>
    <row r="17" spans="1:13" x14ac:dyDescent="0.3">
      <c r="A17" s="148" t="s">
        <v>13</v>
      </c>
      <c r="B17" s="149"/>
      <c r="C17" s="149"/>
      <c r="D17" s="150"/>
      <c r="E17" s="143">
        <v>10.42</v>
      </c>
      <c r="F17" s="144"/>
      <c r="G17" s="143">
        <v>124.92</v>
      </c>
      <c r="H17" s="145"/>
      <c r="I17" s="144"/>
      <c r="J17" s="143">
        <v>127.86</v>
      </c>
      <c r="K17" s="146"/>
      <c r="L17" s="147"/>
      <c r="M17" s="38">
        <v>7.61</v>
      </c>
    </row>
    <row r="18" spans="1:13" ht="14.25" customHeight="1" x14ac:dyDescent="0.3">
      <c r="A18" s="101" t="s">
        <v>14</v>
      </c>
      <c r="B18" s="102"/>
      <c r="C18" s="102"/>
      <c r="D18" s="50"/>
      <c r="E18" s="57">
        <v>4.5999999999999996</v>
      </c>
      <c r="F18" s="57"/>
      <c r="G18" s="138">
        <v>55.56</v>
      </c>
      <c r="H18" s="49"/>
      <c r="I18" s="139"/>
      <c r="J18" s="138">
        <v>56.54</v>
      </c>
      <c r="K18" s="49"/>
      <c r="L18" s="139"/>
      <c r="M18" s="37">
        <v>3.38</v>
      </c>
    </row>
    <row r="19" spans="1:13" x14ac:dyDescent="0.3">
      <c r="A19" s="101" t="s">
        <v>15</v>
      </c>
      <c r="B19" s="102"/>
      <c r="C19" s="102"/>
      <c r="D19" s="50"/>
      <c r="E19" s="57">
        <v>81.17</v>
      </c>
      <c r="F19" s="57"/>
      <c r="G19" s="101">
        <v>1027.92</v>
      </c>
      <c r="H19" s="102"/>
      <c r="I19" s="50"/>
      <c r="J19" s="138">
        <v>1053.56</v>
      </c>
      <c r="K19" s="102"/>
      <c r="L19" s="50"/>
      <c r="M19" s="36">
        <v>62.56</v>
      </c>
    </row>
    <row r="20" spans="1:13" ht="27.75" customHeight="1" x14ac:dyDescent="0.3">
      <c r="A20" s="140" t="s">
        <v>44</v>
      </c>
      <c r="B20" s="141"/>
      <c r="C20" s="141"/>
      <c r="D20" s="142"/>
      <c r="E20" s="57"/>
      <c r="F20" s="57"/>
      <c r="G20" s="138">
        <f>SUM(G17:G19)</f>
        <v>1208.4000000000001</v>
      </c>
      <c r="H20" s="49"/>
      <c r="I20" s="139"/>
      <c r="J20" s="101">
        <f>SUM(J17:J19)</f>
        <v>1237.96</v>
      </c>
      <c r="K20" s="102"/>
      <c r="L20" s="50"/>
      <c r="M20" s="36">
        <f>SUM(M17:M19)</f>
        <v>73.55</v>
      </c>
    </row>
    <row r="21" spans="1:13" ht="18.75" customHeight="1" x14ac:dyDescent="0.3">
      <c r="A21" s="140" t="s">
        <v>9</v>
      </c>
      <c r="B21" s="141"/>
      <c r="C21" s="141"/>
      <c r="D21" s="141"/>
      <c r="E21" s="57"/>
      <c r="F21" s="57"/>
      <c r="G21" s="138"/>
      <c r="H21" s="49"/>
      <c r="I21" s="139"/>
      <c r="J21" s="101"/>
      <c r="K21" s="102"/>
      <c r="L21" s="50"/>
      <c r="M21" s="36">
        <f>M13+M14+M15+M20</f>
        <v>10021.209999999999</v>
      </c>
    </row>
    <row r="22" spans="1:13" ht="17.25" customHeight="1" x14ac:dyDescent="0.3">
      <c r="A22" s="170" t="s">
        <v>45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2"/>
    </row>
    <row r="23" spans="1:13" x14ac:dyDescent="0.3">
      <c r="A23" s="5" t="s">
        <v>20</v>
      </c>
      <c r="B23" s="162" t="s">
        <v>46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73" t="s">
        <v>47</v>
      </c>
      <c r="M23" s="173"/>
    </row>
    <row r="24" spans="1:13" x14ac:dyDescent="0.3">
      <c r="A24" s="32">
        <v>1</v>
      </c>
      <c r="B24" s="169" t="s">
        <v>28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38">
        <v>15301.92</v>
      </c>
      <c r="M24" s="139"/>
    </row>
    <row r="25" spans="1:13" ht="15.75" customHeight="1" x14ac:dyDescent="0.3">
      <c r="A25" s="32">
        <v>2</v>
      </c>
      <c r="B25" s="169" t="s">
        <v>32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01">
        <v>4865.18</v>
      </c>
      <c r="M25" s="50"/>
    </row>
    <row r="26" spans="1:13" ht="15.75" customHeight="1" x14ac:dyDescent="0.3">
      <c r="A26" s="32">
        <v>3</v>
      </c>
      <c r="B26" s="135" t="s">
        <v>146</v>
      </c>
      <c r="C26" s="136"/>
      <c r="D26" s="136"/>
      <c r="E26" s="136"/>
      <c r="F26" s="136"/>
      <c r="G26" s="136"/>
      <c r="H26" s="136"/>
      <c r="I26" s="136"/>
      <c r="J26" s="136"/>
      <c r="K26" s="137"/>
      <c r="L26" s="101">
        <v>283.32</v>
      </c>
      <c r="M26" s="50"/>
    </row>
    <row r="27" spans="1:13" ht="15.75" customHeight="1" x14ac:dyDescent="0.3">
      <c r="A27" s="32">
        <v>4</v>
      </c>
      <c r="B27" s="135" t="s">
        <v>148</v>
      </c>
      <c r="C27" s="136"/>
      <c r="D27" s="136"/>
      <c r="E27" s="136"/>
      <c r="F27" s="136"/>
      <c r="G27" s="136"/>
      <c r="H27" s="136"/>
      <c r="I27" s="136"/>
      <c r="J27" s="136"/>
      <c r="K27" s="137"/>
      <c r="L27" s="138">
        <v>83375</v>
      </c>
      <c r="M27" s="139"/>
    </row>
    <row r="28" spans="1:13" x14ac:dyDescent="0.3">
      <c r="A28" s="32">
        <v>4</v>
      </c>
      <c r="B28" s="136" t="s">
        <v>77</v>
      </c>
      <c r="C28" s="136"/>
      <c r="D28" s="136"/>
      <c r="E28" s="136"/>
      <c r="F28" s="136"/>
      <c r="G28" s="136"/>
      <c r="H28" s="136"/>
      <c r="I28" s="136"/>
      <c r="J28" s="136"/>
      <c r="K28" s="137"/>
      <c r="L28" s="138">
        <v>2261</v>
      </c>
      <c r="M28" s="139"/>
    </row>
    <row r="29" spans="1:13" x14ac:dyDescent="0.3">
      <c r="A29" s="32">
        <v>5</v>
      </c>
      <c r="B29" s="135" t="s">
        <v>78</v>
      </c>
      <c r="C29" s="136"/>
      <c r="D29" s="136"/>
      <c r="E29" s="136"/>
      <c r="F29" s="136"/>
      <c r="G29" s="136"/>
      <c r="H29" s="136"/>
      <c r="I29" s="136"/>
      <c r="J29" s="136"/>
      <c r="K29" s="137"/>
      <c r="L29" s="138">
        <v>23393.79</v>
      </c>
      <c r="M29" s="139"/>
    </row>
    <row r="30" spans="1:13" x14ac:dyDescent="0.3">
      <c r="A30" s="166" t="s">
        <v>48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8"/>
      <c r="L30" s="164">
        <f>SUM(L24:L29)</f>
        <v>129480.20999999999</v>
      </c>
      <c r="M30" s="165"/>
    </row>
    <row r="31" spans="1:13" x14ac:dyDescent="0.3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184"/>
      <c r="M31" s="184"/>
    </row>
    <row r="32" spans="1:13" x14ac:dyDescent="0.3">
      <c r="A32" s="175" t="s">
        <v>49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7"/>
      <c r="L32" s="60">
        <v>-5422.43</v>
      </c>
      <c r="M32" s="61"/>
    </row>
    <row r="33" spans="1:15" x14ac:dyDescent="0.3">
      <c r="A33" s="175" t="s">
        <v>53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7"/>
      <c r="L33" s="178">
        <f>M21</f>
        <v>10021.209999999999</v>
      </c>
      <c r="M33" s="179"/>
    </row>
    <row r="34" spans="1:15" x14ac:dyDescent="0.3">
      <c r="A34" s="175" t="s">
        <v>50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7"/>
      <c r="L34" s="178">
        <v>169468.44</v>
      </c>
      <c r="M34" s="179"/>
    </row>
    <row r="35" spans="1:15" x14ac:dyDescent="0.3">
      <c r="A35" s="175" t="s">
        <v>51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7"/>
      <c r="L35" s="178">
        <f>L30</f>
        <v>129480.20999999999</v>
      </c>
      <c r="M35" s="179"/>
    </row>
    <row r="36" spans="1:15" x14ac:dyDescent="0.3">
      <c r="A36" s="175" t="s">
        <v>52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7"/>
      <c r="L36" s="178">
        <f>L32+L34-L35</f>
        <v>34565.800000000017</v>
      </c>
      <c r="M36" s="180"/>
      <c r="O36" s="43"/>
    </row>
    <row r="37" spans="1:15" x14ac:dyDescent="0.3">
      <c r="A37" s="33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</row>
    <row r="38" spans="1:15" x14ac:dyDescent="0.3">
      <c r="A38" s="35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2"/>
      <c r="M38" s="182"/>
    </row>
    <row r="39" spans="1:15" x14ac:dyDescent="0.3">
      <c r="A39" s="35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5" x14ac:dyDescent="0.3">
      <c r="A40" s="35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5" x14ac:dyDescent="0.3">
      <c r="A41" s="1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"/>
      <c r="M41" s="1"/>
    </row>
    <row r="42" spans="1:15" x14ac:dyDescent="0.3">
      <c r="A42" s="1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96">
    <mergeCell ref="L31:M31"/>
    <mergeCell ref="L32:M32"/>
    <mergeCell ref="A34:K34"/>
    <mergeCell ref="A35:K35"/>
    <mergeCell ref="B39:K39"/>
    <mergeCell ref="A31:K31"/>
    <mergeCell ref="A32:K32"/>
    <mergeCell ref="B41:K41"/>
    <mergeCell ref="B42:K42"/>
    <mergeCell ref="L42:M42"/>
    <mergeCell ref="A33:K33"/>
    <mergeCell ref="L33:M33"/>
    <mergeCell ref="L35:M35"/>
    <mergeCell ref="L36:M36"/>
    <mergeCell ref="L37:M37"/>
    <mergeCell ref="L38:M38"/>
    <mergeCell ref="L39:M39"/>
    <mergeCell ref="L40:M40"/>
    <mergeCell ref="L34:M34"/>
    <mergeCell ref="B37:K37"/>
    <mergeCell ref="B38:K38"/>
    <mergeCell ref="B40:K40"/>
    <mergeCell ref="A36:K36"/>
    <mergeCell ref="G20:I20"/>
    <mergeCell ref="J20:L20"/>
    <mergeCell ref="A20:D20"/>
    <mergeCell ref="A18:D18"/>
    <mergeCell ref="G18:I18"/>
    <mergeCell ref="J18:L18"/>
    <mergeCell ref="A19:D19"/>
    <mergeCell ref="G19:I19"/>
    <mergeCell ref="J19:L19"/>
    <mergeCell ref="L30:M30"/>
    <mergeCell ref="E21:F21"/>
    <mergeCell ref="G21:I21"/>
    <mergeCell ref="J21:L21"/>
    <mergeCell ref="A30:K30"/>
    <mergeCell ref="B25:K25"/>
    <mergeCell ref="L24:M24"/>
    <mergeCell ref="L25:M25"/>
    <mergeCell ref="A22:M22"/>
    <mergeCell ref="B23:K23"/>
    <mergeCell ref="B28:K28"/>
    <mergeCell ref="L28:M28"/>
    <mergeCell ref="B29:K29"/>
    <mergeCell ref="L29:M29"/>
    <mergeCell ref="B26:K26"/>
    <mergeCell ref="L26:M26"/>
    <mergeCell ref="A1:M1"/>
    <mergeCell ref="A2:M2"/>
    <mergeCell ref="A3:M3"/>
    <mergeCell ref="G8:I8"/>
    <mergeCell ref="J8:L8"/>
    <mergeCell ref="A8:D8"/>
    <mergeCell ref="E8:F8"/>
    <mergeCell ref="A7:M7"/>
    <mergeCell ref="A6:G6"/>
    <mergeCell ref="H6:M6"/>
    <mergeCell ref="A4:D4"/>
    <mergeCell ref="E4:I4"/>
    <mergeCell ref="J4:M4"/>
    <mergeCell ref="A5:B5"/>
    <mergeCell ref="C5:H5"/>
    <mergeCell ref="I5:M5"/>
    <mergeCell ref="A9:M9"/>
    <mergeCell ref="A10:D10"/>
    <mergeCell ref="E10:F10"/>
    <mergeCell ref="J13:L13"/>
    <mergeCell ref="A16:M16"/>
    <mergeCell ref="G10:I10"/>
    <mergeCell ref="G11:I11"/>
    <mergeCell ref="J11:L11"/>
    <mergeCell ref="A14:L14"/>
    <mergeCell ref="A15:L15"/>
    <mergeCell ref="J10:L10"/>
    <mergeCell ref="A11:D11"/>
    <mergeCell ref="E11:F11"/>
    <mergeCell ref="A13:D13"/>
    <mergeCell ref="E13:F13"/>
    <mergeCell ref="G13:I13"/>
    <mergeCell ref="B27:K27"/>
    <mergeCell ref="L27:M27"/>
    <mergeCell ref="A12:D12"/>
    <mergeCell ref="E12:F12"/>
    <mergeCell ref="G12:I12"/>
    <mergeCell ref="J12:L12"/>
    <mergeCell ref="E17:F17"/>
    <mergeCell ref="G17:I17"/>
    <mergeCell ref="J17:L17"/>
    <mergeCell ref="A17:D17"/>
    <mergeCell ref="E20:F20"/>
    <mergeCell ref="E19:F19"/>
    <mergeCell ref="E18:F18"/>
    <mergeCell ref="L23:M23"/>
    <mergeCell ref="B24:K24"/>
    <mergeCell ref="A21:D21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ИНИЦИАТИВНАЯ 26</vt:lpstr>
      <vt:lpstr>СОДЕРЖАНИЕ ЖИЛЬЯ</vt:lpstr>
      <vt:lpstr>РЕМОНТ ЖИЛЬЯ</vt:lpstr>
      <vt:lpstr>ОТЧЕТ ИНИЦИАТИ 26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2024-03-28T15:23:01Z</dcterms:modified>
</cp:coreProperties>
</file>